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我的雲端硬碟\109研資組\109成績\小博士、小碩士\10901期末博碩\"/>
    </mc:Choice>
  </mc:AlternateContent>
  <bookViews>
    <workbookView xWindow="0" yWindow="0" windowWidth="21570" windowHeight="8040"/>
  </bookViews>
  <sheets>
    <sheet name="列印獎狀清單-小博" sheetId="4" r:id="rId1"/>
    <sheet name="列印獎狀清單-小碩" sheetId="5" r:id="rId2"/>
    <sheet name="列印獎狀清單-進步" sheetId="6" r:id="rId3"/>
    <sheet name="列印獎狀清單-優質" sheetId="7" r:id="rId4"/>
  </sheets>
  <calcPr calcId="162913"/>
</workbook>
</file>

<file path=xl/calcChain.xml><?xml version="1.0" encoding="utf-8"?>
<calcChain xmlns="http://schemas.openxmlformats.org/spreadsheetml/2006/main">
  <c r="C68" i="6" l="1"/>
  <c r="C30" i="4"/>
  <c r="C6" i="4"/>
  <c r="C6" i="6"/>
  <c r="C59" i="6"/>
  <c r="C3" i="6"/>
  <c r="C34" i="6"/>
  <c r="C13" i="5"/>
  <c r="C21" i="6"/>
  <c r="C11" i="4"/>
  <c r="C32" i="4"/>
  <c r="C37" i="5"/>
  <c r="C69" i="6"/>
  <c r="C67" i="6"/>
  <c r="C36" i="5"/>
  <c r="C40" i="5"/>
  <c r="C7" i="6"/>
  <c r="C35" i="5"/>
  <c r="C8" i="4"/>
  <c r="C21" i="4"/>
  <c r="C35" i="6"/>
  <c r="C37" i="4"/>
  <c r="C45" i="6"/>
  <c r="C30" i="5"/>
  <c r="C56" i="6"/>
  <c r="C55" i="6"/>
  <c r="C23" i="4"/>
  <c r="C24" i="5"/>
  <c r="C17" i="4"/>
  <c r="C23" i="5"/>
  <c r="C57" i="6"/>
  <c r="C24" i="4"/>
  <c r="C62" i="6"/>
  <c r="C61" i="6"/>
  <c r="C18" i="5"/>
  <c r="C17" i="5"/>
  <c r="C46" i="6"/>
  <c r="C44" i="6"/>
  <c r="C18" i="6"/>
  <c r="C10" i="5"/>
  <c r="C16" i="5"/>
  <c r="C8" i="5"/>
  <c r="C4" i="5"/>
  <c r="C38" i="4"/>
  <c r="C43" i="6"/>
  <c r="C49" i="6"/>
  <c r="C22" i="6"/>
  <c r="C5" i="5"/>
  <c r="C30" i="6"/>
  <c r="C32" i="6"/>
  <c r="C31" i="4"/>
  <c r="C10" i="4"/>
  <c r="C33" i="6"/>
  <c r="C33" i="4"/>
  <c r="C64" i="6"/>
  <c r="C51" i="6"/>
  <c r="C40" i="6"/>
  <c r="C39" i="6"/>
  <c r="C16" i="4"/>
  <c r="C20" i="4"/>
  <c r="C15" i="6"/>
  <c r="C14" i="6"/>
  <c r="C41" i="5"/>
  <c r="C25" i="4"/>
  <c r="C27" i="5"/>
  <c r="C36" i="4"/>
  <c r="C52" i="6"/>
  <c r="C10" i="6"/>
  <c r="C26" i="6"/>
  <c r="C25" i="6"/>
  <c r="C17" i="6"/>
  <c r="C29" i="5"/>
  <c r="C16" i="6"/>
  <c r="C19" i="6"/>
  <c r="C50" i="6"/>
  <c r="C28" i="4"/>
  <c r="C39" i="4"/>
  <c r="C27" i="4"/>
  <c r="C42" i="6"/>
  <c r="C21" i="5"/>
  <c r="C9" i="6"/>
  <c r="C20" i="6"/>
  <c r="C19" i="4"/>
  <c r="C58" i="6"/>
  <c r="C43" i="5"/>
  <c r="C39" i="5"/>
  <c r="C66" i="6"/>
  <c r="C41" i="6"/>
  <c r="C65" i="6"/>
  <c r="C63" i="6"/>
  <c r="C28" i="6"/>
  <c r="C35" i="4"/>
  <c r="C2" i="6"/>
  <c r="C38" i="5"/>
  <c r="C60" i="6"/>
  <c r="C28" i="5"/>
  <c r="C26" i="5"/>
  <c r="C25" i="5"/>
  <c r="C54" i="6"/>
  <c r="C4" i="6"/>
  <c r="C53" i="6"/>
  <c r="C27" i="6"/>
  <c r="C11" i="6"/>
  <c r="C29" i="4"/>
  <c r="C32" i="5"/>
  <c r="C31" i="5"/>
  <c r="C47" i="6"/>
  <c r="C3" i="5"/>
  <c r="C14" i="5"/>
  <c r="C11" i="5"/>
  <c r="C38" i="6"/>
  <c r="C12" i="5"/>
  <c r="C37" i="6"/>
  <c r="C34" i="5"/>
  <c r="C5" i="6"/>
  <c r="C23" i="6"/>
  <c r="C20" i="5"/>
  <c r="C19" i="5"/>
  <c r="C36" i="6"/>
  <c r="C48" i="6"/>
  <c r="C34" i="4"/>
  <c r="C22" i="4"/>
  <c r="C31" i="6"/>
  <c r="C26" i="4"/>
  <c r="C29" i="6"/>
  <c r="C9" i="4"/>
  <c r="C33" i="5"/>
  <c r="C70" i="6"/>
  <c r="C15" i="4"/>
  <c r="C18" i="4"/>
  <c r="C24" i="6"/>
  <c r="C13" i="6"/>
  <c r="C8" i="6"/>
  <c r="C13" i="4"/>
  <c r="C15" i="5"/>
  <c r="C12" i="6"/>
  <c r="C12" i="4"/>
  <c r="C22" i="5"/>
  <c r="C7" i="5"/>
  <c r="C42" i="5"/>
  <c r="C9" i="5"/>
  <c r="C7" i="4"/>
  <c r="C14" i="4"/>
  <c r="C6" i="5"/>
</calcChain>
</file>

<file path=xl/sharedStrings.xml><?xml version="1.0" encoding="utf-8"?>
<sst xmlns="http://schemas.openxmlformats.org/spreadsheetml/2006/main" count="484" uniqueCount="89">
  <si>
    <t>姓名</t>
  </si>
  <si>
    <t>賴韋彤</t>
  </si>
  <si>
    <t>鄧小楨</t>
  </si>
  <si>
    <t>邱懿芯</t>
  </si>
  <si>
    <t>劉彥緯</t>
  </si>
  <si>
    <t>洪紹祐</t>
  </si>
  <si>
    <t>簡聖祐</t>
  </si>
  <si>
    <t>謝宇桐</t>
  </si>
  <si>
    <t>余承澤</t>
  </si>
  <si>
    <t>鄭子昊</t>
  </si>
  <si>
    <t>許羽晴</t>
  </si>
  <si>
    <t>陳姝言</t>
  </si>
  <si>
    <t>張芮綾</t>
  </si>
  <si>
    <t>張詠甯</t>
  </si>
  <si>
    <t>石正歆</t>
  </si>
  <si>
    <t>洪宇郡</t>
  </si>
  <si>
    <t>李眉萱</t>
  </si>
  <si>
    <t>彭冠軒</t>
  </si>
  <si>
    <t>王夢軒</t>
  </si>
  <si>
    <t>謝佳桓</t>
  </si>
  <si>
    <t>邱鈺凱</t>
  </si>
  <si>
    <t>陳可佳</t>
  </si>
  <si>
    <t>陳芊云</t>
  </si>
  <si>
    <t>李柏均</t>
  </si>
  <si>
    <t>吳澄澐</t>
  </si>
  <si>
    <t>呂芳綺</t>
  </si>
  <si>
    <t>周妤亭</t>
  </si>
  <si>
    <t>年級</t>
  </si>
  <si>
    <t>班級</t>
  </si>
  <si>
    <t>李瑜庭</t>
  </si>
  <si>
    <t>簡義家</t>
  </si>
  <si>
    <t>賴品潔</t>
  </si>
  <si>
    <t>張閔傑</t>
  </si>
  <si>
    <t>邱愉晰</t>
  </si>
  <si>
    <t>詹喬淩</t>
  </si>
  <si>
    <t>陳品伃</t>
  </si>
  <si>
    <t>石正謙</t>
  </si>
  <si>
    <t>張育晴</t>
  </si>
  <si>
    <t>陳信謙</t>
  </si>
  <si>
    <t>鄭立喬</t>
  </si>
  <si>
    <t>曾詩芮</t>
  </si>
  <si>
    <t>邱品璇</t>
  </si>
  <si>
    <t>吳咨萱</t>
  </si>
  <si>
    <t>一</t>
    <phoneticPr fontId="18" type="noConversion"/>
  </si>
  <si>
    <t>二</t>
    <phoneticPr fontId="18" type="noConversion"/>
  </si>
  <si>
    <t>三</t>
    <phoneticPr fontId="18" type="noConversion"/>
  </si>
  <si>
    <t>一</t>
    <phoneticPr fontId="18" type="noConversion"/>
  </si>
  <si>
    <t>廖芯禾</t>
  </si>
  <si>
    <t>許天欣</t>
  </si>
  <si>
    <t>四</t>
    <phoneticPr fontId="18" type="noConversion"/>
  </si>
  <si>
    <t>五</t>
    <phoneticPr fontId="18" type="noConversion"/>
  </si>
  <si>
    <t>一</t>
    <phoneticPr fontId="18" type="noConversion"/>
  </si>
  <si>
    <t>二</t>
    <phoneticPr fontId="18" type="noConversion"/>
  </si>
  <si>
    <t>六</t>
    <phoneticPr fontId="18" type="noConversion"/>
  </si>
  <si>
    <t>一</t>
    <phoneticPr fontId="18" type="noConversion"/>
  </si>
  <si>
    <t>潘邱允宥</t>
    <phoneticPr fontId="18" type="noConversion"/>
  </si>
  <si>
    <t>四</t>
    <phoneticPr fontId="18" type="noConversion"/>
  </si>
  <si>
    <t>一</t>
    <phoneticPr fontId="18" type="noConversion"/>
  </si>
  <si>
    <t>五</t>
    <phoneticPr fontId="18" type="noConversion"/>
  </si>
  <si>
    <t>六</t>
    <phoneticPr fontId="18" type="noConversion"/>
  </si>
  <si>
    <t>五</t>
    <phoneticPr fontId="18" type="noConversion"/>
  </si>
  <si>
    <t>六</t>
    <phoneticPr fontId="18" type="noConversion"/>
  </si>
  <si>
    <t>朱翊慈</t>
  </si>
  <si>
    <t>黃恩雅</t>
  </si>
  <si>
    <t>楊善媞</t>
  </si>
  <si>
    <t>吳采軒</t>
  </si>
  <si>
    <t>陳井鋐</t>
  </si>
  <si>
    <t>何家茜</t>
  </si>
  <si>
    <t>陳祈安</t>
  </si>
  <si>
    <t>黃愛恩</t>
  </si>
  <si>
    <t>五</t>
    <phoneticPr fontId="18" type="noConversion"/>
  </si>
  <si>
    <t>三</t>
    <phoneticPr fontId="18" type="noConversion"/>
  </si>
  <si>
    <t>六</t>
    <phoneticPr fontId="18" type="noConversion"/>
  </si>
  <si>
    <t xml:space="preserve"> </t>
    <phoneticPr fontId="18" type="noConversion"/>
  </si>
  <si>
    <t>陳昱祥</t>
  </si>
  <si>
    <t>程湘宇</t>
  </si>
  <si>
    <t>潘承澤</t>
  </si>
  <si>
    <t>沈虹臻</t>
    <phoneticPr fontId="18" type="noConversion"/>
  </si>
  <si>
    <t>葉妍</t>
    <phoneticPr fontId="18" type="noConversion"/>
  </si>
  <si>
    <t>曾家瑋</t>
    <phoneticPr fontId="18" type="noConversion"/>
  </si>
  <si>
    <t>邱奕嘉</t>
    <phoneticPr fontId="18" type="noConversion"/>
  </si>
  <si>
    <t>林琦恩</t>
    <phoneticPr fontId="18" type="noConversion"/>
  </si>
  <si>
    <t>蔡苡悅</t>
    <phoneticPr fontId="18" type="noConversion"/>
  </si>
  <si>
    <t>馬悅熙</t>
    <phoneticPr fontId="18" type="noConversion"/>
  </si>
  <si>
    <t>林庭声</t>
    <phoneticPr fontId="18" type="noConversion"/>
  </si>
  <si>
    <t>魏怡婷</t>
    <phoneticPr fontId="18" type="noConversion"/>
  </si>
  <si>
    <t>大智</t>
    <phoneticPr fontId="18" type="noConversion"/>
  </si>
  <si>
    <t xml:space="preserve"> 若魚</t>
    <phoneticPr fontId="18" type="noConversion"/>
  </si>
  <si>
    <t>大智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</si>
</sst>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Inconsolata"/>
    </font>
    <font>
      <sz val="11"/>
      <color rgb="FF000000"/>
      <name val="細明體"/>
      <family val="3"/>
      <charset val="136"/>
    </font>
    <font>
      <sz val="9"/>
      <color theme="1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33" borderId="0" xfId="0" applyFill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22" fillId="34" borderId="0" xfId="0" applyFont="1" applyFill="1" applyAlignment="1"/>
    <xf numFmtId="0" fontId="0" fillId="0" borderId="0" xfId="0" applyFill="1">
      <alignment vertical="center"/>
    </xf>
    <xf numFmtId="0" fontId="21" fillId="33" borderId="0" xfId="0" applyFont="1" applyFill="1" applyAlignment="1"/>
    <xf numFmtId="0" fontId="20" fillId="33" borderId="11" xfId="0" applyFont="1" applyFill="1" applyBorder="1" applyAlignment="1">
      <alignment wrapText="1"/>
    </xf>
    <xf numFmtId="0" fontId="22" fillId="35" borderId="0" xfId="0" applyFont="1" applyFill="1" applyAlignment="1"/>
    <xf numFmtId="0" fontId="23" fillId="33" borderId="11" xfId="0" applyFont="1" applyFill="1" applyBorder="1" applyAlignment="1">
      <alignment wrapText="1"/>
    </xf>
    <xf numFmtId="0" fontId="0" fillId="0" borderId="0" xfId="0" applyFill="1" applyBorder="1">
      <alignment vertical="center"/>
    </xf>
    <xf numFmtId="0" fontId="0" fillId="33" borderId="0" xfId="0" applyFill="1" applyBorder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D1" sqref="D1:E1048576"/>
    </sheetView>
  </sheetViews>
  <sheetFormatPr defaultRowHeight="16.5"/>
  <cols>
    <col min="1" max="16384" width="9" style="6"/>
  </cols>
  <sheetData>
    <row r="1" spans="1:3" ht="17.25" thickBot="1">
      <c r="A1" s="1" t="s">
        <v>27</v>
      </c>
      <c r="B1" s="1" t="s">
        <v>28</v>
      </c>
      <c r="C1" s="1" t="s">
        <v>0</v>
      </c>
    </row>
    <row r="2" spans="1:3" s="2" customFormat="1" ht="17.25" thickBot="1">
      <c r="A2" s="3" t="s">
        <v>43</v>
      </c>
      <c r="B2" s="3" t="s">
        <v>43</v>
      </c>
      <c r="C2" s="8" t="s">
        <v>2</v>
      </c>
    </row>
    <row r="3" spans="1:3" s="2" customFormat="1" ht="17.25" thickBot="1">
      <c r="A3" s="3" t="s">
        <v>43</v>
      </c>
      <c r="B3" s="3" t="s">
        <v>43</v>
      </c>
      <c r="C3" s="8" t="s">
        <v>47</v>
      </c>
    </row>
    <row r="4" spans="1:3" s="2" customFormat="1" ht="17.25" thickBot="1">
      <c r="A4" s="3" t="s">
        <v>43</v>
      </c>
      <c r="B4" s="3" t="s">
        <v>43</v>
      </c>
      <c r="C4" s="8" t="s">
        <v>48</v>
      </c>
    </row>
    <row r="5" spans="1:3" s="2" customFormat="1" ht="17.25" thickBot="1">
      <c r="A5" s="3" t="s">
        <v>43</v>
      </c>
      <c r="B5" s="3" t="s">
        <v>43</v>
      </c>
      <c r="C5" s="8" t="s">
        <v>3</v>
      </c>
    </row>
    <row r="6" spans="1:3" s="2" customFormat="1">
      <c r="A6" s="3" t="s">
        <v>43</v>
      </c>
      <c r="B6" s="3" t="s">
        <v>44</v>
      </c>
      <c r="C6" s="9" t="str">
        <f ca="1">IFERROR(__xludf.DUMMYFUNCTION("IMPORTRANGE(""https://docs.google.com/spreadsheets/d/1eJ1smXDv3Q0G1SrV43C6ys-uZsF4ZW58zXe9RG-IisE/edit#gid=1900093922"",""期末考!L2:L30"")"),"楊善媞")</f>
        <v>楊善媞</v>
      </c>
    </row>
    <row r="7" spans="1:3" s="2" customFormat="1">
      <c r="A7" s="3" t="s">
        <v>43</v>
      </c>
      <c r="B7" s="3" t="s">
        <v>44</v>
      </c>
      <c r="C7" s="7" t="str">
        <f ca="1">IFERROR(__xludf.DUMMYFUNCTION("""COMPUTED_VALUE"""),"朱翊慈")</f>
        <v>朱翊慈</v>
      </c>
    </row>
    <row r="8" spans="1:3" s="2" customFormat="1">
      <c r="A8" s="3" t="s">
        <v>44</v>
      </c>
      <c r="B8" s="3" t="s">
        <v>43</v>
      </c>
      <c r="C8" s="9" t="str">
        <f ca="1">IFERROR(__xludf.DUMMYFUNCTION("IMPORTRANGE(""https://docs.google.com/spreadsheets/d/1w811RzrZgcB7tB5k7cGvXSYiU39SgLpdBTT7YKV5ajQ/edit#gid=1900093922"",""期末考!L2:L30"")"),"簡聖祐")</f>
        <v>簡聖祐</v>
      </c>
    </row>
    <row r="9" spans="1:3" s="2" customFormat="1">
      <c r="A9" s="3" t="s">
        <v>44</v>
      </c>
      <c r="B9" s="3" t="s">
        <v>43</v>
      </c>
      <c r="C9" s="7" t="str">
        <f ca="1">IFERROR(__xludf.DUMMYFUNCTION("""COMPUTED_VALUE"""),"劉彥緯")</f>
        <v>劉彥緯</v>
      </c>
    </row>
    <row r="10" spans="1:3" s="2" customFormat="1">
      <c r="A10" s="3" t="s">
        <v>44</v>
      </c>
      <c r="B10" s="3" t="s">
        <v>43</v>
      </c>
      <c r="C10" s="7" t="str">
        <f ca="1">IFERROR(__xludf.DUMMYFUNCTION("""COMPUTED_VALUE"""),"黃柔瑄")</f>
        <v>黃柔瑄</v>
      </c>
    </row>
    <row r="11" spans="1:3" s="2" customFormat="1">
      <c r="A11" s="3" t="s">
        <v>44</v>
      </c>
      <c r="B11" s="3" t="s">
        <v>44</v>
      </c>
      <c r="C11" s="9" t="str">
        <f ca="1">IFERROR(__xludf.DUMMYFUNCTION("IMPORTRANGE(""https://docs.google.com/spreadsheets/d/1Wni6fhhbkqQPr1ZI6Z3J4K_WwRwTnm7S8-_0HhtjgEM/edit#gid=1900093922"",""期末考!L2:L30"")"),"謝宇桐")</f>
        <v>謝宇桐</v>
      </c>
    </row>
    <row r="12" spans="1:3" s="2" customFormat="1">
      <c r="A12" s="3" t="s">
        <v>44</v>
      </c>
      <c r="B12" s="3" t="s">
        <v>44</v>
      </c>
      <c r="C12" s="7" t="str">
        <f ca="1">IFERROR(__xludf.DUMMYFUNCTION("""COMPUTED_VALUE"""),"廖紫妃")</f>
        <v>廖紫妃</v>
      </c>
    </row>
    <row r="13" spans="1:3" s="2" customFormat="1">
      <c r="A13" s="3" t="s">
        <v>44</v>
      </c>
      <c r="B13" s="3" t="s">
        <v>44</v>
      </c>
      <c r="C13" s="7" t="str">
        <f ca="1">IFERROR(__xludf.DUMMYFUNCTION("""COMPUTED_VALUE"""),"陳井鋐")</f>
        <v>陳井鋐</v>
      </c>
    </row>
    <row r="14" spans="1:3" s="2" customFormat="1">
      <c r="A14" s="3" t="s">
        <v>44</v>
      </c>
      <c r="B14" s="3" t="s">
        <v>44</v>
      </c>
      <c r="C14" s="7" t="str">
        <f ca="1">IFERROR(__xludf.DUMMYFUNCTION("""COMPUTED_VALUE"""),"田力")</f>
        <v>田力</v>
      </c>
    </row>
    <row r="15" spans="1:3">
      <c r="A15" s="1" t="s">
        <v>45</v>
      </c>
      <c r="B15" s="1" t="s">
        <v>43</v>
      </c>
      <c r="C15" s="5" t="str">
        <f ca="1">IFERROR(__xludf.DUMMYFUNCTION("IMPORTRANGE(""https://docs.google.com/spreadsheets/d/1UWAbo1W8eZF72BhUU-o3p5ESpHLUcY5RFu7sondYJ6w/edit#gid=1900093922"",""期末考!p2:p30"")"),"林峻立")</f>
        <v>林峻立</v>
      </c>
    </row>
    <row r="16" spans="1:3">
      <c r="A16" s="1" t="s">
        <v>45</v>
      </c>
      <c r="B16" s="1" t="s">
        <v>43</v>
      </c>
      <c r="C16" s="4" t="str">
        <f ca="1">IFERROR(__xludf.DUMMYFUNCTION("""COMPUTED_VALUE"""),"李瑜庭")</f>
        <v>李瑜庭</v>
      </c>
    </row>
    <row r="17" spans="1:3">
      <c r="A17" s="1" t="s">
        <v>45</v>
      </c>
      <c r="B17" s="1" t="s">
        <v>44</v>
      </c>
      <c r="C17" s="5" t="str">
        <f ca="1">IFERROR(__xludf.DUMMYFUNCTION("IMPORTRANGE(""https://docs.google.com/spreadsheets/d/1uT_pp1tmOQyHDxTUqk_QSiy-WgHvnRRRp2-NmbBIiQg/edit#gid=1900093922"",""期末考!p2:p30"")"),"楊詠琁")</f>
        <v>楊詠琁</v>
      </c>
    </row>
    <row r="18" spans="1:3">
      <c r="A18" s="1" t="s">
        <v>45</v>
      </c>
      <c r="B18" s="1" t="s">
        <v>44</v>
      </c>
      <c r="C18" s="4" t="str">
        <f ca="1">IFERROR(__xludf.DUMMYFUNCTION("""COMPUTED_VALUE"""),"陳彥亨")</f>
        <v>陳彥亨</v>
      </c>
    </row>
    <row r="19" spans="1:3">
      <c r="A19" s="1" t="s">
        <v>45</v>
      </c>
      <c r="B19" s="1" t="s">
        <v>44</v>
      </c>
      <c r="C19" s="4" t="str">
        <f ca="1">IFERROR(__xludf.DUMMYFUNCTION("""COMPUTED_VALUE"""),"許羽晴")</f>
        <v>許羽晴</v>
      </c>
    </row>
    <row r="20" spans="1:3">
      <c r="A20" s="1" t="s">
        <v>45</v>
      </c>
      <c r="B20" s="1" t="s">
        <v>45</v>
      </c>
      <c r="C20" s="5" t="str">
        <f ca="1">IFERROR(__xludf.DUMMYFUNCTION("IMPORTRANGE(""https://docs.google.com/spreadsheets/d/1AqTrM0EgYmjUXaM8RvLcC61QEuTyVBjutvx7rOdAMyA/edit#gid=1900093922"",""期末考!p2:p30"")"),"簡義家")</f>
        <v>簡義家</v>
      </c>
    </row>
    <row r="21" spans="1:3">
      <c r="A21" s="1" t="s">
        <v>45</v>
      </c>
      <c r="B21" s="1" t="s">
        <v>45</v>
      </c>
      <c r="C21" s="4" t="str">
        <f ca="1">IFERROR(__xludf.DUMMYFUNCTION("""COMPUTED_VALUE"""),"陳信謙")</f>
        <v>陳信謙</v>
      </c>
    </row>
    <row r="22" spans="1:3">
      <c r="A22" s="1" t="s">
        <v>45</v>
      </c>
      <c r="B22" s="1" t="s">
        <v>45</v>
      </c>
      <c r="C22" s="4" t="str">
        <f ca="1">IFERROR(__xludf.DUMMYFUNCTION("""COMPUTED_VALUE"""),"周妤恩")</f>
        <v>周妤恩</v>
      </c>
    </row>
    <row r="23" spans="1:3">
      <c r="A23" s="1" t="s">
        <v>49</v>
      </c>
      <c r="B23" s="1" t="s">
        <v>43</v>
      </c>
      <c r="C23" s="5" t="str">
        <f ca="1">IFERROR(__xludf.DUMMYFUNCTION("IMPORTRANGE(""https://docs.google.com/spreadsheets/d/1So23MwJ26ANLvBQ5ZqCXBgXVy34U573GlDb_FpEYOqQ/edit#gid=1900093922"",""期末考!p2:p30"")"),"陳姝言")</f>
        <v>陳姝言</v>
      </c>
    </row>
    <row r="24" spans="1:3">
      <c r="A24" s="1" t="s">
        <v>49</v>
      </c>
      <c r="B24" s="1" t="s">
        <v>43</v>
      </c>
      <c r="C24" s="4" t="str">
        <f ca="1">IFERROR(__xludf.DUMMYFUNCTION("""COMPUTED_VALUE"""),"張語彤")</f>
        <v>張語彤</v>
      </c>
    </row>
    <row r="25" spans="1:3">
      <c r="A25" s="1" t="s">
        <v>49</v>
      </c>
      <c r="B25" s="1" t="s">
        <v>43</v>
      </c>
      <c r="C25" s="4" t="str">
        <f ca="1">IFERROR(__xludf.DUMMYFUNCTION("""COMPUTED_VALUE"""),"張詠甯")</f>
        <v>張詠甯</v>
      </c>
    </row>
    <row r="26" spans="1:3">
      <c r="A26" s="1" t="s">
        <v>49</v>
      </c>
      <c r="B26" s="1" t="s">
        <v>43</v>
      </c>
      <c r="C26" s="4" t="str">
        <f ca="1">IFERROR(__xludf.DUMMYFUNCTION("""COMPUTED_VALUE"""),"張芮綾")</f>
        <v>張芮綾</v>
      </c>
    </row>
    <row r="27" spans="1:3">
      <c r="A27" s="1" t="s">
        <v>49</v>
      </c>
      <c r="B27" s="1" t="s">
        <v>43</v>
      </c>
      <c r="C27" s="4" t="str">
        <f ca="1">IFERROR(__xludf.DUMMYFUNCTION("""COMPUTED_VALUE"""),"孔若伃")</f>
        <v>孔若伃</v>
      </c>
    </row>
    <row r="28" spans="1:3">
      <c r="A28" s="1" t="s">
        <v>49</v>
      </c>
      <c r="B28" s="1" t="s">
        <v>45</v>
      </c>
      <c r="C28" s="5" t="str">
        <f ca="1">IFERROR(__xludf.DUMMYFUNCTION("IMPORTRANGE(""https://docs.google.com/spreadsheets/d/14hhYnF9KjXy7hcSe7ph-3Ji4LuSdn9yAhn9uLx5-p4g/edit#gid=1900093922"",""期末考!p2:p30"")"),"陳品恩")</f>
        <v>陳品恩</v>
      </c>
    </row>
    <row r="29" spans="1:3">
      <c r="A29" s="1" t="s">
        <v>49</v>
      </c>
      <c r="B29" s="1" t="s">
        <v>45</v>
      </c>
      <c r="C29" s="4" t="str">
        <f ca="1">IFERROR(__xludf.DUMMYFUNCTION("""COMPUTED_VALUE"""),"陳品伃")</f>
        <v>陳品伃</v>
      </c>
    </row>
    <row r="30" spans="1:3">
      <c r="A30" s="1" t="s">
        <v>49</v>
      </c>
      <c r="B30" s="1" t="s">
        <v>45</v>
      </c>
      <c r="C30" s="4" t="str">
        <f ca="1">IFERROR(__xludf.DUMMYFUNCTION("""COMPUTED_VALUE"""),"張育晴")</f>
        <v>張育晴</v>
      </c>
    </row>
    <row r="31" spans="1:3" s="2" customFormat="1">
      <c r="A31" s="3" t="s">
        <v>50</v>
      </c>
      <c r="B31" s="3" t="s">
        <v>51</v>
      </c>
      <c r="C31" s="9" t="str">
        <f ca="1">IFERROR(__xludf.DUMMYFUNCTION("IMPORTRANGE(""https://docs.google.com/spreadsheets/d/1FjsuO9oDXreCWc7dE8Wrfm44K2MNtrf1L2t163jAkZc/edit#gid=1900093922"",""期末考!p2:p30"")"),"李眉萱")</f>
        <v>李眉萱</v>
      </c>
    </row>
    <row r="32" spans="1:3" s="2" customFormat="1">
      <c r="A32" s="3" t="s">
        <v>50</v>
      </c>
      <c r="B32" s="3" t="s">
        <v>52</v>
      </c>
      <c r="C32" s="9" t="str">
        <f ca="1">IFERROR(__xludf.DUMMYFUNCTION("IMPORTRANGE(""https://docs.google.com/spreadsheets/d/1PNpVuURr4PwXoCTEWICyxoZmLdCL3V9gR_J79YUllpY/edit#gid=1900093922"",""期末考!p2:p30"")"),"謝佳桓")</f>
        <v>謝佳桓</v>
      </c>
    </row>
    <row r="33" spans="1:3" s="2" customFormat="1">
      <c r="A33" s="3" t="s">
        <v>50</v>
      </c>
      <c r="B33" s="3" t="s">
        <v>52</v>
      </c>
      <c r="C33" s="7" t="str">
        <f ca="1">IFERROR(__xludf.DUMMYFUNCTION("""COMPUTED_VALUE"""),"陳可佳")</f>
        <v>陳可佳</v>
      </c>
    </row>
    <row r="34" spans="1:3" s="2" customFormat="1">
      <c r="A34" s="3" t="s">
        <v>53</v>
      </c>
      <c r="B34" s="3" t="s">
        <v>54</v>
      </c>
      <c r="C34" s="9" t="str">
        <f ca="1">IFERROR(__xludf.DUMMYFUNCTION("IMPORTRANGE(""https://docs.google.com/spreadsheets/d/1aHEEiZ0BDcBpjuGHE2IHOVBP2zSVPrgs6HrykbYVQHE/edit#gid=1900093922"",""期末考!p2:p30"")"),"鄭立喬")</f>
        <v>鄭立喬</v>
      </c>
    </row>
    <row r="35" spans="1:3" s="2" customFormat="1">
      <c r="A35" s="3" t="s">
        <v>53</v>
      </c>
      <c r="B35" s="3" t="s">
        <v>54</v>
      </c>
      <c r="C35" s="7" t="str">
        <f ca="1">IFERROR(__xludf.DUMMYFUNCTION("""COMPUTED_VALUE"""),"張閔傑")</f>
        <v>張閔傑</v>
      </c>
    </row>
    <row r="36" spans="1:3" s="2" customFormat="1">
      <c r="A36" s="3" t="s">
        <v>53</v>
      </c>
      <c r="B36" s="3" t="s">
        <v>52</v>
      </c>
      <c r="C36" s="7" t="str">
        <f ca="1">IFERROR(__xludf.DUMMYFUNCTION("IMPORTRANGE(""https://docs.google.com/spreadsheets/d/1pLuHQoVN4yAG-bn0qjj4J0THrDThleIHTS7ts6BYHIU/edit#gid=1900093922"",""期末考!p2:p30"")"),"曾詩芮")</f>
        <v>曾詩芮</v>
      </c>
    </row>
    <row r="37" spans="1:3" s="2" customFormat="1">
      <c r="A37" s="3" t="s">
        <v>53</v>
      </c>
      <c r="B37" s="3" t="s">
        <v>52</v>
      </c>
      <c r="C37" s="7" t="str">
        <f ca="1">IFERROR(__xludf.DUMMYFUNCTION("""COMPUTED_VALUE"""),"邱愉晰")</f>
        <v>邱愉晰</v>
      </c>
    </row>
    <row r="38" spans="1:3" s="2" customFormat="1">
      <c r="A38" s="3" t="s">
        <v>53</v>
      </c>
      <c r="B38" s="3" t="s">
        <v>52</v>
      </c>
      <c r="C38" s="7" t="str">
        <f ca="1">IFERROR(__xludf.DUMMYFUNCTION("""COMPUTED_VALUE"""),"石正謙")</f>
        <v>石正謙</v>
      </c>
    </row>
    <row r="39" spans="1:3" s="2" customFormat="1">
      <c r="A39" s="3" t="s">
        <v>53</v>
      </c>
      <c r="B39" s="3" t="s">
        <v>45</v>
      </c>
      <c r="C39" s="9" t="str">
        <f ca="1">IFERROR(__xludf.DUMMYFUNCTION("IMPORTRANGE(""https://docs.google.com/spreadsheets/d/1BnSt5xz6ni5AVBAMOm7G2EC0bePdBnYChq9SGUSrcag/edit#gid=1900093922"",""期末考!p2:p30"")"),"吳澄澐")</f>
        <v>吳澄澐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D1" sqref="D1:E1048576"/>
    </sheetView>
  </sheetViews>
  <sheetFormatPr defaultRowHeight="16.5"/>
  <cols>
    <col min="1" max="16384" width="9" style="6"/>
  </cols>
  <sheetData>
    <row r="1" spans="1:3" ht="17.25" thickBot="1">
      <c r="A1" s="1" t="s">
        <v>27</v>
      </c>
      <c r="B1" s="1" t="s">
        <v>28</v>
      </c>
      <c r="C1" s="1" t="s">
        <v>0</v>
      </c>
    </row>
    <row r="2" spans="1:3" s="2" customFormat="1" ht="17.25" thickBot="1">
      <c r="A2" s="3" t="s">
        <v>43</v>
      </c>
      <c r="B2" s="3" t="s">
        <v>43</v>
      </c>
      <c r="C2" s="10" t="s">
        <v>55</v>
      </c>
    </row>
    <row r="3" spans="1:3">
      <c r="A3" s="1" t="s">
        <v>45</v>
      </c>
      <c r="B3" s="1" t="s">
        <v>43</v>
      </c>
      <c r="C3" s="5" t="str">
        <f ca="1">IFERROR(__xludf.DUMMYFUNCTION("IMPORTRANGE(""https://docs.google.com/spreadsheets/d/1UWAbo1W8eZF72BhUU-o3p5ESpHLUcY5RFu7sondYJ6w/edit#gid=1900093922"",""期末考!q2:q30"")"),"邱品璇")</f>
        <v>邱品璇</v>
      </c>
    </row>
    <row r="4" spans="1:3">
      <c r="A4" s="1" t="s">
        <v>45</v>
      </c>
      <c r="B4" s="1" t="s">
        <v>43</v>
      </c>
      <c r="C4" s="4" t="str">
        <f ca="1">IFERROR(__xludf.DUMMYFUNCTION("""COMPUTED_VALUE"""),"林湘芸")</f>
        <v>林湘芸</v>
      </c>
    </row>
    <row r="5" spans="1:3">
      <c r="A5" s="1" t="s">
        <v>45</v>
      </c>
      <c r="B5" s="1" t="s">
        <v>44</v>
      </c>
      <c r="C5" s="5" t="str">
        <f ca="1">IFERROR(__xludf.DUMMYFUNCTION("IMPORTRANGE(""https://docs.google.com/spreadsheets/d/1uT_pp1tmOQyHDxTUqk_QSiy-WgHvnRRRp2-NmbBIiQg/edit#gid=1900093922"",""期末考!q2:q30"")"),"鄭以樂")</f>
        <v>鄭以樂</v>
      </c>
    </row>
    <row r="6" spans="1:3">
      <c r="A6" s="1" t="s">
        <v>45</v>
      </c>
      <c r="B6" s="1" t="s">
        <v>44</v>
      </c>
      <c r="C6" s="4" t="str">
        <f ca="1">IFERROR(__xludf.DUMMYFUNCTION("""COMPUTED_VALUE"""),"鄭子昊")</f>
        <v>鄭子昊</v>
      </c>
    </row>
    <row r="7" spans="1:3">
      <c r="A7" s="1" t="s">
        <v>45</v>
      </c>
      <c r="B7" s="1" t="s">
        <v>44</v>
      </c>
      <c r="C7" s="4" t="str">
        <f ca="1">IFERROR(__xludf.DUMMYFUNCTION("""COMPUTED_VALUE"""),"余承澤")</f>
        <v>余承澤</v>
      </c>
    </row>
    <row r="8" spans="1:3">
      <c r="A8" s="1" t="s">
        <v>45</v>
      </c>
      <c r="B8" s="1" t="s">
        <v>45</v>
      </c>
      <c r="C8" s="5" t="str">
        <f ca="1">IFERROR(__xludf.DUMMYFUNCTION("IMPORTRANGE(""https://docs.google.com/spreadsheets/d/1AqTrM0EgYmjUXaM8RvLcC61QEuTyVBjutvx7rOdAMyA/edit#gid=1900093922"",""期末考!q2:q30"")"),"詹喬淩")</f>
        <v>詹喬淩</v>
      </c>
    </row>
    <row r="9" spans="1:3">
      <c r="A9" s="1" t="s">
        <v>45</v>
      </c>
      <c r="B9" s="1" t="s">
        <v>45</v>
      </c>
      <c r="C9" s="4" t="str">
        <f ca="1">IFERROR(__xludf.DUMMYFUNCTION("""COMPUTED_VALUE"""),"黃晨育")</f>
        <v>黃晨育</v>
      </c>
    </row>
    <row r="10" spans="1:3">
      <c r="A10" s="1" t="s">
        <v>45</v>
      </c>
      <c r="B10" s="1" t="s">
        <v>45</v>
      </c>
      <c r="C10" s="4" t="str">
        <f ca="1">IFERROR(__xludf.DUMMYFUNCTION("""COMPUTED_VALUE"""),"陳蒔")</f>
        <v>陳蒔</v>
      </c>
    </row>
    <row r="11" spans="1:3">
      <c r="A11" s="1" t="s">
        <v>45</v>
      </c>
      <c r="B11" s="1" t="s">
        <v>45</v>
      </c>
      <c r="C11" s="4" t="str">
        <f ca="1">IFERROR(__xludf.DUMMYFUNCTION("""COMPUTED_VALUE"""),"陳品彤")</f>
        <v>陳品彤</v>
      </c>
    </row>
    <row r="12" spans="1:3">
      <c r="A12" s="1" t="s">
        <v>45</v>
      </c>
      <c r="B12" s="1" t="s">
        <v>45</v>
      </c>
      <c r="C12" s="4" t="str">
        <f ca="1">IFERROR(__xludf.DUMMYFUNCTION("""COMPUTED_VALUE"""),"陳予恩")</f>
        <v>陳予恩</v>
      </c>
    </row>
    <row r="13" spans="1:3">
      <c r="A13" s="1" t="s">
        <v>45</v>
      </c>
      <c r="B13" s="1" t="s">
        <v>45</v>
      </c>
      <c r="C13" s="4" t="str">
        <f ca="1">IFERROR(__xludf.DUMMYFUNCTION("""COMPUTED_VALUE"""),"何孟禧")</f>
        <v>何孟禧</v>
      </c>
    </row>
    <row r="14" spans="1:3">
      <c r="A14" s="1" t="s">
        <v>56</v>
      </c>
      <c r="B14" s="1" t="s">
        <v>57</v>
      </c>
      <c r="C14" s="5" t="str">
        <f ca="1">IFERROR(__xludf.DUMMYFUNCTION("IMPORTRANGE(""https://docs.google.com/spreadsheets/d/1So23MwJ26ANLvBQ5ZqCXBgXVy34U573GlDb_FpEYOqQ/edit#gid=1900093922"",""期末考!q2:q30"")"),"柳冠丞")</f>
        <v>柳冠丞</v>
      </c>
    </row>
    <row r="15" spans="1:3">
      <c r="A15" s="1" t="s">
        <v>56</v>
      </c>
      <c r="B15" s="1" t="s">
        <v>57</v>
      </c>
      <c r="C15" s="4" t="str">
        <f ca="1">IFERROR(__xludf.DUMMYFUNCTION("""COMPUTED_VALUE"""),"林芯")</f>
        <v>林芯</v>
      </c>
    </row>
    <row r="16" spans="1:3">
      <c r="A16" s="1" t="s">
        <v>56</v>
      </c>
      <c r="B16" s="1" t="s">
        <v>57</v>
      </c>
      <c r="C16" s="4" t="str">
        <f ca="1">IFERROR(__xludf.DUMMYFUNCTION("""COMPUTED_VALUE"""),"石祥杙")</f>
        <v>石祥杙</v>
      </c>
    </row>
    <row r="17" spans="1:3">
      <c r="A17" s="1" t="s">
        <v>56</v>
      </c>
      <c r="B17" s="1" t="s">
        <v>44</v>
      </c>
      <c r="C17" s="5" t="str">
        <f ca="1">IFERROR(__xludf.DUMMYFUNCTION("IMPORTRANGE(""https://docs.google.com/spreadsheets/d/13oKP5wX37l9QcyVyaCY1BHJpSm3V6VicRpzRNBen2jA/edit#gid=1900093922"",""期末考!q2:q30"")"),"潘怡妃")</f>
        <v>潘怡妃</v>
      </c>
    </row>
    <row r="18" spans="1:3">
      <c r="A18" s="1" t="s">
        <v>56</v>
      </c>
      <c r="B18" s="1" t="s">
        <v>44</v>
      </c>
      <c r="C18" s="4" t="str">
        <f ca="1">IFERROR(__xludf.DUMMYFUNCTION("""COMPUTED_VALUE"""),"洪宇郡")</f>
        <v>洪宇郡</v>
      </c>
    </row>
    <row r="19" spans="1:3">
      <c r="A19" s="1" t="s">
        <v>56</v>
      </c>
      <c r="B19" s="1" t="s">
        <v>44</v>
      </c>
      <c r="C19" s="4" t="str">
        <f ca="1">IFERROR(__xludf.DUMMYFUNCTION("""COMPUTED_VALUE"""),"石正歆")</f>
        <v>石正歆</v>
      </c>
    </row>
    <row r="20" spans="1:3">
      <c r="A20" s="1" t="s">
        <v>56</v>
      </c>
      <c r="B20" s="1" t="s">
        <v>45</v>
      </c>
      <c r="C20" s="5" t="str">
        <f ca="1">IFERROR(__xludf.DUMMYFUNCTION("IMPORTRANGE(""https://docs.google.com/spreadsheets/d/14hhYnF9KjXy7hcSe7ph-3Ji4LuSdn9yAhn9uLx5-p4g/edit#gid=1900093922"",""期末考!q2:q30"")"),"賴品潔")</f>
        <v>賴品潔</v>
      </c>
    </row>
    <row r="21" spans="1:3">
      <c r="A21" s="1" t="s">
        <v>56</v>
      </c>
      <c r="B21" s="1" t="s">
        <v>45</v>
      </c>
      <c r="C21" s="4" t="str">
        <f ca="1">IFERROR(__xludf.DUMMYFUNCTION("""COMPUTED_VALUE"""),"林萌")</f>
        <v>林萌</v>
      </c>
    </row>
    <row r="22" spans="1:3">
      <c r="A22" s="1" t="s">
        <v>56</v>
      </c>
      <c r="B22" s="1" t="s">
        <v>45</v>
      </c>
      <c r="C22" s="4" t="str">
        <f ca="1">IFERROR(__xludf.DUMMYFUNCTION("""COMPUTED_VALUE"""),"吳卉昕")</f>
        <v>吳卉昕</v>
      </c>
    </row>
    <row r="23" spans="1:3" s="2" customFormat="1">
      <c r="A23" s="3" t="s">
        <v>58</v>
      </c>
      <c r="B23" s="3" t="s">
        <v>46</v>
      </c>
      <c r="C23" s="9" t="str">
        <f ca="1">IFERROR(__xludf.DUMMYFUNCTION("IMPORTRANGE(""https://docs.google.com/spreadsheets/d/1FjsuO9oDXreCWc7dE8Wrfm44K2MNtrf1L2t163jAkZc/edit#gid=1900093922"",""期末考!q2:q30"")"),"彭冠軒")</f>
        <v>彭冠軒</v>
      </c>
    </row>
    <row r="24" spans="1:3" s="2" customFormat="1">
      <c r="A24" s="3" t="s">
        <v>58</v>
      </c>
      <c r="B24" s="3" t="s">
        <v>46</v>
      </c>
      <c r="C24" s="7" t="str">
        <f ca="1">IFERROR(__xludf.DUMMYFUNCTION("""COMPUTED_VALUE"""),"王夢軒")</f>
        <v>王夢軒</v>
      </c>
    </row>
    <row r="25" spans="1:3" s="2" customFormat="1">
      <c r="A25" s="3" t="s">
        <v>58</v>
      </c>
      <c r="B25" s="3" t="s">
        <v>44</v>
      </c>
      <c r="C25" s="9" t="str">
        <f ca="1">IFERROR(__xludf.DUMMYFUNCTION("IMPORTRANGE(""https://docs.google.com/spreadsheets/d/1PNpVuURr4PwXoCTEWICyxoZmLdCL3V9gR_J79YUllpY/edit#gid=1900093922"",""期末考!q2:q30"")"),"邱鈺凱")</f>
        <v>邱鈺凱</v>
      </c>
    </row>
    <row r="26" spans="1:3" s="2" customFormat="1">
      <c r="A26" s="3" t="s">
        <v>58</v>
      </c>
      <c r="B26" s="3" t="s">
        <v>44</v>
      </c>
      <c r="C26" s="7" t="str">
        <f ca="1">IFERROR(__xludf.DUMMYFUNCTION("""COMPUTED_VALUE"""),"吳岱庭")</f>
        <v>吳岱庭</v>
      </c>
    </row>
    <row r="27" spans="1:3" s="2" customFormat="1">
      <c r="A27" s="3" t="s">
        <v>58</v>
      </c>
      <c r="B27" s="3" t="s">
        <v>45</v>
      </c>
      <c r="C27" s="9" t="str">
        <f ca="1">IFERROR(__xludf.DUMMYFUNCTION("IMPORTRANGE(""https://docs.google.com/spreadsheets/d/1Freubfh_LAtA2QK4GH1Z0MfrmcXWwAu1KqGwxb98f6c/edit#gid=1900093922"",""期末考!q2:q30"")"),"鄧芳庭")</f>
        <v>鄧芳庭</v>
      </c>
    </row>
    <row r="28" spans="1:3" s="2" customFormat="1">
      <c r="A28" s="3" t="s">
        <v>58</v>
      </c>
      <c r="B28" s="3" t="s">
        <v>45</v>
      </c>
      <c r="C28" s="7" t="str">
        <f ca="1">IFERROR(__xludf.DUMMYFUNCTION("""COMPUTED_VALUE"""),"蔡承家")</f>
        <v>蔡承家</v>
      </c>
    </row>
    <row r="29" spans="1:3" s="2" customFormat="1">
      <c r="A29" s="3" t="s">
        <v>58</v>
      </c>
      <c r="B29" s="3" t="s">
        <v>45</v>
      </c>
      <c r="C29" s="7" t="str">
        <f ca="1">IFERROR(__xludf.DUMMYFUNCTION("""COMPUTED_VALUE"""),"陳芊云")</f>
        <v>陳芊云</v>
      </c>
    </row>
    <row r="30" spans="1:3" s="2" customFormat="1">
      <c r="A30" s="3" t="s">
        <v>58</v>
      </c>
      <c r="B30" s="3" t="s">
        <v>45</v>
      </c>
      <c r="C30" s="7" t="str">
        <f ca="1">IFERROR(__xludf.DUMMYFUNCTION("""COMPUTED_VALUE"""),"李柏均")</f>
        <v>李柏均</v>
      </c>
    </row>
    <row r="31" spans="1:3" s="2" customFormat="1">
      <c r="A31" s="3" t="s">
        <v>59</v>
      </c>
      <c r="B31" s="3" t="s">
        <v>46</v>
      </c>
      <c r="C31" s="9" t="str">
        <f ca="1">IFERROR(__xludf.DUMMYFUNCTION("IMPORTRANGE(""https://docs.google.com/spreadsheets/d/1aHEEiZ0BDcBpjuGHE2IHOVBP2zSVPrgs6HrykbYVQHE/edit#gid=1900093922"",""期末考!q2:q30"")"),"張哲銓")</f>
        <v>張哲銓</v>
      </c>
    </row>
    <row r="32" spans="1:3" s="2" customFormat="1">
      <c r="A32" s="3" t="s">
        <v>59</v>
      </c>
      <c r="B32" s="3" t="s">
        <v>46</v>
      </c>
      <c r="C32" s="7" t="str">
        <f ca="1">IFERROR(__xludf.DUMMYFUNCTION("""COMPUTED_VALUE"""),"余采芠")</f>
        <v>余采芠</v>
      </c>
    </row>
    <row r="33" spans="1:3" s="2" customFormat="1">
      <c r="A33" s="3" t="s">
        <v>59</v>
      </c>
      <c r="B33" s="3" t="s">
        <v>44</v>
      </c>
      <c r="C33" s="7" t="str">
        <f ca="1">IFERROR(__xludf.DUMMYFUNCTION("IMPORTRANGE(""https://docs.google.com/spreadsheets/d/1pLuHQoVN4yAG-bn0qjj4J0THrDThleIHTS7ts6BYHIU/edit#gid=1900093922"",""期末考!q2:q30"")"),"曾品綺")</f>
        <v>曾品綺</v>
      </c>
    </row>
    <row r="34" spans="1:3" s="2" customFormat="1">
      <c r="A34" s="3" t="s">
        <v>59</v>
      </c>
      <c r="B34" s="3" t="s">
        <v>44</v>
      </c>
      <c r="C34" s="7" t="str">
        <f ca="1">IFERROR(__xludf.DUMMYFUNCTION("""COMPUTED_VALUE"""),"陳書莛")</f>
        <v>陳書莛</v>
      </c>
    </row>
    <row r="35" spans="1:3" s="2" customFormat="1">
      <c r="A35" s="3" t="s">
        <v>59</v>
      </c>
      <c r="B35" s="3" t="s">
        <v>45</v>
      </c>
      <c r="C35" s="7" t="str">
        <f ca="1">IFERROR(__xludf.DUMMYFUNCTION("""COMPUTED_VALUE"""),"李旻哲")</f>
        <v>李旻哲</v>
      </c>
    </row>
    <row r="36" spans="1:3" s="2" customFormat="1">
      <c r="A36" s="3" t="s">
        <v>59</v>
      </c>
      <c r="B36" s="3" t="s">
        <v>45</v>
      </c>
      <c r="C36" s="9" t="str">
        <f ca="1">IFERROR(__xludf.DUMMYFUNCTION("IMPORTRANGE(""https://docs.google.com/spreadsheets/d/1BnSt5xz6ni5AVBAMOm7G2EC0bePdBnYChq9SGUSrcag/edit#gid=1900093922"",""期末考!q2:q30"")"),"溫宜涵")</f>
        <v>溫宜涵</v>
      </c>
    </row>
    <row r="37" spans="1:3" s="2" customFormat="1">
      <c r="A37" s="3" t="s">
        <v>59</v>
      </c>
      <c r="B37" s="3" t="s">
        <v>45</v>
      </c>
      <c r="C37" s="7" t="str">
        <f ca="1">IFERROR(__xludf.DUMMYFUNCTION("""COMPUTED_VALUE"""),"黃子紜")</f>
        <v>黃子紜</v>
      </c>
    </row>
    <row r="38" spans="1:3" s="2" customFormat="1">
      <c r="A38" s="3" t="s">
        <v>59</v>
      </c>
      <c r="B38" s="3" t="s">
        <v>45</v>
      </c>
      <c r="C38" s="7" t="str">
        <f ca="1">IFERROR(__xludf.DUMMYFUNCTION("""COMPUTED_VALUE"""),"陳治衡")</f>
        <v>陳治衡</v>
      </c>
    </row>
    <row r="39" spans="1:3" s="2" customFormat="1">
      <c r="A39" s="3" t="s">
        <v>59</v>
      </c>
      <c r="B39" s="3" t="s">
        <v>45</v>
      </c>
      <c r="C39" s="7" t="str">
        <f ca="1">IFERROR(__xludf.DUMMYFUNCTION("""COMPUTED_VALUE"""),"徐士媛")</f>
        <v>徐士媛</v>
      </c>
    </row>
    <row r="40" spans="1:3" s="2" customFormat="1">
      <c r="A40" s="3" t="s">
        <v>59</v>
      </c>
      <c r="B40" s="3" t="s">
        <v>45</v>
      </c>
      <c r="C40" s="7" t="str">
        <f ca="1">IFERROR(__xludf.DUMMYFUNCTION("""COMPUTED_VALUE"""),"周妤亭")</f>
        <v>周妤亭</v>
      </c>
    </row>
    <row r="41" spans="1:3" s="2" customFormat="1">
      <c r="A41" s="3" t="s">
        <v>59</v>
      </c>
      <c r="B41" s="3" t="s">
        <v>45</v>
      </c>
      <c r="C41" s="7" t="str">
        <f ca="1">IFERROR(__xludf.DUMMYFUNCTION("""COMPUTED_VALUE"""),"呂芳綺")</f>
        <v>呂芳綺</v>
      </c>
    </row>
    <row r="42" spans="1:3" s="2" customFormat="1">
      <c r="A42" s="3" t="s">
        <v>59</v>
      </c>
      <c r="B42" s="3" t="s">
        <v>45</v>
      </c>
      <c r="C42" s="7" t="str">
        <f ca="1">IFERROR(__xludf.DUMMYFUNCTION("""COMPUTED_VALUE"""),"吳宥竹")</f>
        <v>吳宥竹</v>
      </c>
    </row>
    <row r="43" spans="1:3" s="2" customFormat="1">
      <c r="A43" s="3" t="s">
        <v>59</v>
      </c>
      <c r="B43" s="3" t="s">
        <v>45</v>
      </c>
      <c r="C43" s="7" t="str">
        <f ca="1">IFERROR(__xludf.DUMMYFUNCTION("""COMPUTED_VALUE"""),"江承鴻")</f>
        <v>江承鴻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B1" sqref="A1:B1048576"/>
    </sheetView>
  </sheetViews>
  <sheetFormatPr defaultRowHeight="16.5"/>
  <cols>
    <col min="1" max="16384" width="9" style="11"/>
  </cols>
  <sheetData>
    <row r="1" spans="1:3">
      <c r="A1" s="1" t="s">
        <v>27</v>
      </c>
      <c r="B1" s="1" t="s">
        <v>28</v>
      </c>
      <c r="C1" s="1" t="s">
        <v>0</v>
      </c>
    </row>
    <row r="2" spans="1:3" s="12" customFormat="1">
      <c r="A2" s="3" t="s">
        <v>43</v>
      </c>
      <c r="B2" s="3" t="s">
        <v>43</v>
      </c>
      <c r="C2" s="7" t="str">
        <f ca="1">IFERROR(__xludf.DUMMYFUNCTION("IMPORTRANGE(""https://docs.google.com/spreadsheets/d/1XtpF7qjXgvGQBj8EF0gM5ifUpg9z979Ns_vDTq67jMc/edit#gid=1900093922"",""期末考!n2:n30"")"),"黃宥綸")</f>
        <v>黃宥綸</v>
      </c>
    </row>
    <row r="3" spans="1:3" s="12" customFormat="1">
      <c r="A3" s="3" t="s">
        <v>43</v>
      </c>
      <c r="B3" s="3" t="s">
        <v>43</v>
      </c>
      <c r="C3" s="7" t="str">
        <f ca="1">IFERROR(__xludf.DUMMYFUNCTION("""COMPUTED_VALUE"""),"張靖承")</f>
        <v>張靖承</v>
      </c>
    </row>
    <row r="4" spans="1:3" s="12" customFormat="1">
      <c r="A4" s="3" t="s">
        <v>43</v>
      </c>
      <c r="B4" s="3" t="s">
        <v>43</v>
      </c>
      <c r="C4" s="7" t="str">
        <f ca="1">IFERROR(__xludf.DUMMYFUNCTION("""COMPUTED_VALUE"""),"沈靖宸")</f>
        <v>沈靖宸</v>
      </c>
    </row>
    <row r="5" spans="1:3" s="12" customFormat="1">
      <c r="A5" s="3" t="s">
        <v>43</v>
      </c>
      <c r="B5" s="3" t="s">
        <v>43</v>
      </c>
      <c r="C5" s="7" t="str">
        <f ca="1">IFERROR(__xludf.DUMMYFUNCTION("""COMPUTED_VALUE"""),"何彥軒")</f>
        <v>何彥軒</v>
      </c>
    </row>
    <row r="6" spans="1:3" s="12" customFormat="1">
      <c r="A6" s="3" t="s">
        <v>43</v>
      </c>
      <c r="B6" s="3" t="s">
        <v>43</v>
      </c>
      <c r="C6" s="7" t="str">
        <f ca="1">IFERROR(__xludf.DUMMYFUNCTION("""COMPUTED_VALUE"""),"王鼎勳")</f>
        <v>王鼎勳</v>
      </c>
    </row>
    <row r="7" spans="1:3" s="12" customFormat="1">
      <c r="A7" s="3" t="s">
        <v>43</v>
      </c>
      <c r="B7" s="3" t="s">
        <v>44</v>
      </c>
      <c r="C7" s="9" t="str">
        <f ca="1">IFERROR(__xludf.DUMMYFUNCTION("IMPORTRANGE(""https://docs.google.com/spreadsheets/d/1eJ1smXDv3Q0G1SrV43C6ys-uZsF4ZW58zXe9RG-IisE/edit#gid=1900093922"",""期末考!n2:n30"")"),"鄭翔俊")</f>
        <v>鄭翔俊</v>
      </c>
    </row>
    <row r="8" spans="1:3" s="12" customFormat="1">
      <c r="A8" s="3" t="s">
        <v>43</v>
      </c>
      <c r="B8" s="3" t="s">
        <v>44</v>
      </c>
      <c r="C8" s="7" t="str">
        <f ca="1">IFERROR(__xludf.DUMMYFUNCTION("""COMPUTED_VALUE"""),"樓睿澤")</f>
        <v>樓睿澤</v>
      </c>
    </row>
    <row r="9" spans="1:3" s="12" customFormat="1">
      <c r="A9" s="3" t="s">
        <v>43</v>
      </c>
      <c r="B9" s="3" t="s">
        <v>44</v>
      </c>
      <c r="C9" s="7" t="str">
        <f ca="1">IFERROR(__xludf.DUMMYFUNCTION("""COMPUTED_VALUE"""),"劉浩揚")</f>
        <v>劉浩揚</v>
      </c>
    </row>
    <row r="10" spans="1:3" s="12" customFormat="1">
      <c r="A10" s="3" t="s">
        <v>43</v>
      </c>
      <c r="B10" s="3" t="s">
        <v>44</v>
      </c>
      <c r="C10" s="7" t="str">
        <f ca="1">IFERROR(__xludf.DUMMYFUNCTION("""COMPUTED_VALUE"""),"葉昀潔")</f>
        <v>葉昀潔</v>
      </c>
    </row>
    <row r="11" spans="1:3" s="12" customFormat="1">
      <c r="A11" s="3" t="s">
        <v>43</v>
      </c>
      <c r="B11" s="3" t="s">
        <v>44</v>
      </c>
      <c r="C11" s="7" t="str">
        <f ca="1">IFERROR(__xludf.DUMMYFUNCTION("""COMPUTED_VALUE"""),"陳譽仁")</f>
        <v>陳譽仁</v>
      </c>
    </row>
    <row r="12" spans="1:3" s="12" customFormat="1">
      <c r="A12" s="3" t="s">
        <v>43</v>
      </c>
      <c r="B12" s="3" t="s">
        <v>44</v>
      </c>
      <c r="C12" s="7" t="str">
        <f ca="1">IFERROR(__xludf.DUMMYFUNCTION("""COMPUTED_VALUE"""),"陳韋丞")</f>
        <v>陳韋丞</v>
      </c>
    </row>
    <row r="13" spans="1:3" s="12" customFormat="1">
      <c r="A13" s="3" t="s">
        <v>43</v>
      </c>
      <c r="B13" s="3" t="s">
        <v>44</v>
      </c>
      <c r="C13" s="7" t="str">
        <f ca="1">IFERROR(__xludf.DUMMYFUNCTION("""COMPUTED_VALUE"""),"陳巧瑜")</f>
        <v>陳巧瑜</v>
      </c>
    </row>
    <row r="14" spans="1:3" s="12" customFormat="1">
      <c r="A14" s="3" t="s">
        <v>43</v>
      </c>
      <c r="B14" s="3" t="s">
        <v>44</v>
      </c>
      <c r="C14" s="7" t="str">
        <f ca="1">IFERROR(__xludf.DUMMYFUNCTION("""COMPUTED_VALUE"""),"莊丞禾")</f>
        <v>莊丞禾</v>
      </c>
    </row>
    <row r="15" spans="1:3" s="12" customFormat="1">
      <c r="A15" s="3" t="s">
        <v>43</v>
      </c>
      <c r="B15" s="3" t="s">
        <v>44</v>
      </c>
      <c r="C15" s="7" t="str">
        <f ca="1">IFERROR(__xludf.DUMMYFUNCTION("""COMPUTED_VALUE"""),"張恩齊")</f>
        <v>張恩齊</v>
      </c>
    </row>
    <row r="16" spans="1:3" s="12" customFormat="1">
      <c r="A16" s="3" t="s">
        <v>43</v>
      </c>
      <c r="B16" s="3" t="s">
        <v>44</v>
      </c>
      <c r="C16" s="7" t="str">
        <f ca="1">IFERROR(__xludf.DUMMYFUNCTION("""COMPUTED_VALUE"""),"徐守璨")</f>
        <v>徐守璨</v>
      </c>
    </row>
    <row r="17" spans="1:6" s="12" customFormat="1">
      <c r="A17" s="3" t="s">
        <v>43</v>
      </c>
      <c r="B17" s="3" t="s">
        <v>44</v>
      </c>
      <c r="C17" s="7" t="str">
        <f ca="1">IFERROR(__xludf.DUMMYFUNCTION("""COMPUTED_VALUE"""),"林庭熙")</f>
        <v>林庭熙</v>
      </c>
    </row>
    <row r="18" spans="1:6" s="12" customFormat="1">
      <c r="A18" s="3" t="s">
        <v>43</v>
      </c>
      <c r="B18" s="3" t="s">
        <v>44</v>
      </c>
      <c r="C18" s="7" t="str">
        <f ca="1">IFERROR(__xludf.DUMMYFUNCTION("""COMPUTED_VALUE"""),"林彥呈")</f>
        <v>林彥呈</v>
      </c>
    </row>
    <row r="19" spans="1:6" s="12" customFormat="1">
      <c r="A19" s="3" t="s">
        <v>43</v>
      </c>
      <c r="B19" s="3" t="s">
        <v>44</v>
      </c>
      <c r="C19" s="7" t="str">
        <f ca="1">IFERROR(__xludf.DUMMYFUNCTION("""COMPUTED_VALUE"""),"王詩瑀")</f>
        <v>王詩瑀</v>
      </c>
    </row>
    <row r="20" spans="1:6" s="12" customFormat="1">
      <c r="A20" s="3" t="s">
        <v>43</v>
      </c>
      <c r="B20" s="3" t="s">
        <v>44</v>
      </c>
      <c r="C20" s="7" t="str">
        <f ca="1">IFERROR(__xludf.DUMMYFUNCTION("""COMPUTED_VALUE"""),"王可辰")</f>
        <v>王可辰</v>
      </c>
    </row>
    <row r="21" spans="1:6" s="12" customFormat="1">
      <c r="A21" s="3" t="s">
        <v>44</v>
      </c>
      <c r="B21" s="3" t="s">
        <v>46</v>
      </c>
      <c r="C21" s="9" t="str">
        <f ca="1">IFERROR(__xludf.DUMMYFUNCTION("IMPORTRANGE(""https://docs.google.com/spreadsheets/d/1w811RzrZgcB7tB5k7cGvXSYiU39SgLpdBTT7YKV5ajQ/edit#gid=1900093922"",""期末考!n2:n30"")"),"潘宥安")</f>
        <v>潘宥安</v>
      </c>
    </row>
    <row r="22" spans="1:6" s="12" customFormat="1">
      <c r="A22" s="3" t="s">
        <v>44</v>
      </c>
      <c r="B22" s="3" t="s">
        <v>46</v>
      </c>
      <c r="C22" s="7" t="str">
        <f ca="1">IFERROR(__xludf.DUMMYFUNCTION("""COMPUTED_VALUE"""),"游宇辰")</f>
        <v>游宇辰</v>
      </c>
    </row>
    <row r="23" spans="1:6" s="12" customFormat="1">
      <c r="A23" s="3" t="s">
        <v>44</v>
      </c>
      <c r="B23" s="3" t="s">
        <v>46</v>
      </c>
      <c r="C23" s="7" t="str">
        <f ca="1">IFERROR(__xludf.DUMMYFUNCTION("""COMPUTED_VALUE"""),"陳可翔")</f>
        <v>陳可翔</v>
      </c>
    </row>
    <row r="24" spans="1:6" s="12" customFormat="1">
      <c r="A24" s="3" t="s">
        <v>44</v>
      </c>
      <c r="B24" s="3" t="s">
        <v>44</v>
      </c>
      <c r="C24" s="9" t="str">
        <f ca="1">IFERROR(__xludf.DUMMYFUNCTION("IMPORTRANGE(""https://docs.google.com/spreadsheets/d/1Wni6fhhbkqQPr1ZI6Z3J4K_WwRwTnm7S8-_0HhtjgEM/edit#gid=1900093922"",""期末考!n2:n30"")"),"潘緯綸")</f>
        <v>潘緯綸</v>
      </c>
    </row>
    <row r="25" spans="1:6" s="12" customFormat="1">
      <c r="A25" s="3" t="s">
        <v>44</v>
      </c>
      <c r="B25" s="3" t="s">
        <v>44</v>
      </c>
      <c r="C25" s="7" t="str">
        <f ca="1">IFERROR(__xludf.DUMMYFUNCTION("""COMPUTED_VALUE"""),"葉丞旭")</f>
        <v>葉丞旭</v>
      </c>
    </row>
    <row r="26" spans="1:6" s="12" customFormat="1">
      <c r="A26" s="3" t="s">
        <v>44</v>
      </c>
      <c r="B26" s="3" t="s">
        <v>44</v>
      </c>
      <c r="C26" s="7" t="str">
        <f ca="1">IFERROR(__xludf.DUMMYFUNCTION("""COMPUTED_VALUE"""),"張捷凱")</f>
        <v>張捷凱</v>
      </c>
      <c r="F26" s="12" t="s">
        <v>73</v>
      </c>
    </row>
    <row r="27" spans="1:6" s="12" customFormat="1">
      <c r="A27" s="3" t="s">
        <v>44</v>
      </c>
      <c r="B27" s="3" t="s">
        <v>44</v>
      </c>
      <c r="C27" s="7" t="str">
        <f ca="1">IFERROR(__xludf.DUMMYFUNCTION("""COMPUTED_VALUE"""),"張英豪")</f>
        <v>張英豪</v>
      </c>
    </row>
    <row r="28" spans="1:6" s="12" customFormat="1">
      <c r="A28" s="3" t="s">
        <v>44</v>
      </c>
      <c r="B28" s="3" t="s">
        <v>44</v>
      </c>
      <c r="C28" s="7" t="str">
        <f ca="1">IFERROR(__xludf.DUMMYFUNCTION("""COMPUTED_VALUE"""),"李宇勝")</f>
        <v>李宇勝</v>
      </c>
    </row>
    <row r="29" spans="1:6">
      <c r="A29" s="1" t="s">
        <v>45</v>
      </c>
      <c r="B29" s="1" t="s">
        <v>46</v>
      </c>
      <c r="C29" s="5" t="str">
        <f ca="1">IFERROR(__xludf.DUMMYFUNCTION("IMPORTRANGE(""https://docs.google.com/spreadsheets/d/1UWAbo1W8eZF72BhUU-o3p5ESpHLUcY5RFu7sondYJ6w/edit#gid=1900093922"",""期末考!r2:r30"")"),"葉丞祖")</f>
        <v>葉丞祖</v>
      </c>
    </row>
    <row r="30" spans="1:6">
      <c r="A30" s="1" t="s">
        <v>45</v>
      </c>
      <c r="B30" s="1" t="s">
        <v>46</v>
      </c>
      <c r="C30" s="4" t="str">
        <f ca="1">IFERROR(__xludf.DUMMYFUNCTION("""COMPUTED_VALUE"""),"温睿杰")</f>
        <v>温睿杰</v>
      </c>
    </row>
    <row r="31" spans="1:6">
      <c r="A31" s="1" t="s">
        <v>45</v>
      </c>
      <c r="B31" s="1" t="s">
        <v>46</v>
      </c>
      <c r="C31" s="4" t="str">
        <f ca="1">IFERROR(__xludf.DUMMYFUNCTION("""COMPUTED_VALUE"""),"高浚筌")</f>
        <v>高浚筌</v>
      </c>
    </row>
    <row r="32" spans="1:6">
      <c r="A32" s="1" t="s">
        <v>45</v>
      </c>
      <c r="B32" s="1" t="s">
        <v>46</v>
      </c>
      <c r="C32" s="4" t="str">
        <f ca="1">IFERROR(__xludf.DUMMYFUNCTION("""COMPUTED_VALUE"""),"汪予婕")</f>
        <v>汪予婕</v>
      </c>
    </row>
    <row r="33" spans="1:3">
      <c r="A33" s="1" t="s">
        <v>45</v>
      </c>
      <c r="B33" s="1" t="s">
        <v>46</v>
      </c>
      <c r="C33" s="4" t="str">
        <f ca="1">IFERROR(__xludf.DUMMYFUNCTION("""COMPUTED_VALUE"""),"汩沐‧煾嗄")</f>
        <v>汩沐‧煾嗄</v>
      </c>
    </row>
    <row r="34" spans="1:3">
      <c r="A34" s="1" t="s">
        <v>45</v>
      </c>
      <c r="B34" s="1" t="s">
        <v>44</v>
      </c>
      <c r="C34" s="5" t="str">
        <f ca="1">IFERROR(__xludf.DUMMYFUNCTION("IMPORTRANGE(""https://docs.google.com/spreadsheets/d/1uT_pp1tmOQyHDxTUqk_QSiy-WgHvnRRRp2-NmbBIiQg/edit#gid=1900093922"",""期末考!r2:r30"")"),"張家愷")</f>
        <v>張家愷</v>
      </c>
    </row>
    <row r="35" spans="1:3">
      <c r="A35" s="1" t="s">
        <v>45</v>
      </c>
      <c r="B35" s="1" t="s">
        <v>44</v>
      </c>
      <c r="C35" s="4" t="str">
        <f ca="1">IFERROR(__xludf.DUMMYFUNCTION("""COMPUTED_VALUE"""),"翁唯娟")</f>
        <v>翁唯娟</v>
      </c>
    </row>
    <row r="36" spans="1:3">
      <c r="A36" s="1" t="s">
        <v>45</v>
      </c>
      <c r="B36" s="1" t="s">
        <v>45</v>
      </c>
      <c r="C36" s="5" t="str">
        <f ca="1">IFERROR(__xludf.DUMMYFUNCTION("IMPORTRANGE(""https://docs.google.com/spreadsheets/d/1AqTrM0EgYmjUXaM8RvLcC61QEuTyVBjutvx7rOdAMyA/edit#gid=1900093922"",""期末考!r2:r30"")"),"林名媛")</f>
        <v>林名媛</v>
      </c>
    </row>
    <row r="37" spans="1:3">
      <c r="A37" s="1" t="s">
        <v>56</v>
      </c>
      <c r="B37" s="1" t="s">
        <v>46</v>
      </c>
      <c r="C37" s="5" t="str">
        <f ca="1">IFERROR(__xludf.DUMMYFUNCTION("IMPORTRANGE(""https://docs.google.com/spreadsheets/d/1So23MwJ26ANLvBQ5ZqCXBgXVy34U573GlDb_FpEYOqQ/edit#gid=1900093922"",""期末考!r2:r30"")"),"羅傑珽")</f>
        <v>羅傑珽</v>
      </c>
    </row>
    <row r="38" spans="1:3">
      <c r="A38" s="1" t="s">
        <v>56</v>
      </c>
      <c r="B38" s="1" t="s">
        <v>46</v>
      </c>
      <c r="C38" s="4" t="str">
        <f ca="1">IFERROR(__xludf.DUMMYFUNCTION("""COMPUTED_VALUE"""),"鄭皓宸")</f>
        <v>鄭皓宸</v>
      </c>
    </row>
    <row r="39" spans="1:3">
      <c r="A39" s="1" t="s">
        <v>56</v>
      </c>
      <c r="B39" s="1" t="s">
        <v>46</v>
      </c>
      <c r="C39" s="4" t="str">
        <f ca="1">IFERROR(__xludf.DUMMYFUNCTION("""COMPUTED_VALUE"""),"曾茹晨")</f>
        <v>曾茹晨</v>
      </c>
    </row>
    <row r="40" spans="1:3">
      <c r="A40" s="1" t="s">
        <v>56</v>
      </c>
      <c r="B40" s="1" t="s">
        <v>46</v>
      </c>
      <c r="C40" s="4" t="str">
        <f ca="1">IFERROR(__xludf.DUMMYFUNCTION("""COMPUTED_VALUE"""),"陳奕菲")</f>
        <v>陳奕菲</v>
      </c>
    </row>
    <row r="41" spans="1:3">
      <c r="A41" s="1" t="s">
        <v>56</v>
      </c>
      <c r="B41" s="1" t="s">
        <v>46</v>
      </c>
      <c r="C41" s="4" t="str">
        <f ca="1">IFERROR(__xludf.DUMMYFUNCTION("""COMPUTED_VALUE"""),"李佳陽")</f>
        <v>李佳陽</v>
      </c>
    </row>
    <row r="42" spans="1:3">
      <c r="A42" s="1" t="s">
        <v>56</v>
      </c>
      <c r="B42" s="1" t="s">
        <v>46</v>
      </c>
      <c r="C42" s="4" t="str">
        <f ca="1">IFERROR(__xludf.DUMMYFUNCTION("""COMPUTED_VALUE"""),"王品程")</f>
        <v>王品程</v>
      </c>
    </row>
    <row r="43" spans="1:3">
      <c r="A43" s="1" t="s">
        <v>56</v>
      </c>
      <c r="B43" s="1" t="s">
        <v>44</v>
      </c>
      <c r="C43" s="5" t="str">
        <f ca="1">IFERROR(__xludf.DUMMYFUNCTION("IMPORTRANGE(""https://docs.google.com/spreadsheets/d/13oKP5wX37l9QcyVyaCY1BHJpSm3V6VicRpzRNBen2jA/edit#gid=1900093922"",""期末考!r2:r30"")"),"劉宜菱")</f>
        <v>劉宜菱</v>
      </c>
    </row>
    <row r="44" spans="1:3">
      <c r="A44" s="1" t="s">
        <v>56</v>
      </c>
      <c r="B44" s="1" t="s">
        <v>44</v>
      </c>
      <c r="C44" s="4" t="str">
        <f ca="1">IFERROR(__xludf.DUMMYFUNCTION("""COMPUTED_VALUE"""),"陳恩于")</f>
        <v>陳恩于</v>
      </c>
    </row>
    <row r="45" spans="1:3">
      <c r="A45" s="1" t="s">
        <v>56</v>
      </c>
      <c r="B45" s="1" t="s">
        <v>44</v>
      </c>
      <c r="C45" s="4" t="str">
        <f ca="1">IFERROR(__xludf.DUMMYFUNCTION("""COMPUTED_VALUE"""),"陳宥銜")</f>
        <v>陳宥銜</v>
      </c>
    </row>
    <row r="46" spans="1:3">
      <c r="A46" s="1" t="s">
        <v>56</v>
      </c>
      <c r="B46" s="1" t="s">
        <v>44</v>
      </c>
      <c r="C46" s="4" t="str">
        <f ca="1">IFERROR(__xludf.DUMMYFUNCTION("""COMPUTED_VALUE"""),"張宇哲")</f>
        <v>張宇哲</v>
      </c>
    </row>
    <row r="47" spans="1:3">
      <c r="A47" s="1" t="s">
        <v>56</v>
      </c>
      <c r="B47" s="1" t="s">
        <v>44</v>
      </c>
      <c r="C47" s="4" t="str">
        <f ca="1">IFERROR(__xludf.DUMMYFUNCTION("""COMPUTED_VALUE"""),"姚彥廷")</f>
        <v>姚彥廷</v>
      </c>
    </row>
    <row r="48" spans="1:3">
      <c r="A48" s="1" t="s">
        <v>56</v>
      </c>
      <c r="B48" s="1" t="s">
        <v>44</v>
      </c>
      <c r="C48" s="4" t="str">
        <f ca="1">IFERROR(__xludf.DUMMYFUNCTION("""COMPUTED_VALUE"""),"林宣岑")</f>
        <v>林宣岑</v>
      </c>
    </row>
    <row r="49" spans="1:3">
      <c r="A49" s="1" t="s">
        <v>56</v>
      </c>
      <c r="B49" s="1" t="s">
        <v>44</v>
      </c>
      <c r="C49" s="4" t="str">
        <f ca="1">IFERROR(__xludf.DUMMYFUNCTION("""COMPUTED_VALUE"""),"沈偉凡")</f>
        <v>沈偉凡</v>
      </c>
    </row>
    <row r="50" spans="1:3">
      <c r="A50" s="1" t="s">
        <v>56</v>
      </c>
      <c r="B50" s="1" t="s">
        <v>44</v>
      </c>
      <c r="C50" s="4" t="str">
        <f ca="1">IFERROR(__xludf.DUMMYFUNCTION("""COMPUTED_VALUE"""),"吳奕霆")</f>
        <v>吳奕霆</v>
      </c>
    </row>
    <row r="51" spans="1:3">
      <c r="A51" s="1" t="s">
        <v>56</v>
      </c>
      <c r="B51" s="1" t="s">
        <v>45</v>
      </c>
      <c r="C51" s="5" t="str">
        <f ca="1">IFERROR(__xludf.DUMMYFUNCTION("IMPORTRANGE(""https://docs.google.com/spreadsheets/d/14hhYnF9KjXy7hcSe7ph-3Ji4LuSdn9yAhn9uLx5-p4g/edit#gid=1900093922"",""期末考!r2:r30"")"),"陳俞帆")</f>
        <v>陳俞帆</v>
      </c>
    </row>
    <row r="52" spans="1:3" s="12" customFormat="1">
      <c r="A52" s="12" t="s">
        <v>60</v>
      </c>
      <c r="B52" s="12" t="s">
        <v>44</v>
      </c>
      <c r="C52" s="9" t="str">
        <f ca="1">IFERROR(__xludf.DUMMYFUNCTION("IMPORTRANGE(""https://docs.google.com/spreadsheets/d/1PNpVuURr4PwXoCTEWICyxoZmLdCL3V9gR_J79YUllpY/edit#gid=1900093922"",""期末考!r2:r30"")"),"黃浩澐")</f>
        <v>黃浩澐</v>
      </c>
    </row>
    <row r="53" spans="1:3" s="12" customFormat="1">
      <c r="A53" s="12" t="s">
        <v>60</v>
      </c>
      <c r="B53" s="12" t="s">
        <v>45</v>
      </c>
      <c r="C53" s="9" t="str">
        <f ca="1">IFERROR(__xludf.DUMMYFUNCTION("IMPORTRANGE(""https://docs.google.com/spreadsheets/d/1Freubfh_LAtA2QK4GH1Z0MfrmcXWwAu1KqGwxb98f6c/edit#gid=1900093922"",""期末考!r2:r30"")"),"陶玟嫣")</f>
        <v>陶玟嫣</v>
      </c>
    </row>
    <row r="54" spans="1:3" s="12" customFormat="1">
      <c r="A54" s="12" t="s">
        <v>61</v>
      </c>
      <c r="B54" s="3" t="s">
        <v>46</v>
      </c>
      <c r="C54" s="9" t="str">
        <f ca="1">IFERROR(__xludf.DUMMYFUNCTION("IMPORTRANGE(""https://docs.google.com/spreadsheets/d/1aHEEiZ0BDcBpjuGHE2IHOVBP2zSVPrgs6HrykbYVQHE/edit#gid=1900093922"",""期末考!r2:r30"")"),"姜靜希")</f>
        <v>姜靜希</v>
      </c>
    </row>
    <row r="55" spans="1:3" s="12" customFormat="1">
      <c r="A55" s="12" t="s">
        <v>61</v>
      </c>
      <c r="B55" s="3" t="s">
        <v>46</v>
      </c>
      <c r="C55" s="7" t="str">
        <f ca="1">IFERROR(__xludf.DUMMYFUNCTION("""COMPUTED_VALUE"""),"林霆鈞")</f>
        <v>林霆鈞</v>
      </c>
    </row>
    <row r="56" spans="1:3" s="12" customFormat="1">
      <c r="A56" s="12" t="s">
        <v>61</v>
      </c>
      <c r="B56" s="3" t="s">
        <v>46</v>
      </c>
      <c r="C56" s="7" t="str">
        <f ca="1">IFERROR(__xludf.DUMMYFUNCTION("""COMPUTED_VALUE"""),"沈博凱")</f>
        <v>沈博凱</v>
      </c>
    </row>
    <row r="57" spans="1:3" s="12" customFormat="1">
      <c r="A57" s="12" t="s">
        <v>61</v>
      </c>
      <c r="B57" s="3" t="s">
        <v>46</v>
      </c>
      <c r="C57" s="7" t="str">
        <f ca="1">IFERROR(__xludf.DUMMYFUNCTION("""COMPUTED_VALUE"""),"李冠穎")</f>
        <v>李冠穎</v>
      </c>
    </row>
    <row r="58" spans="1:3" s="12" customFormat="1">
      <c r="A58" s="12" t="s">
        <v>61</v>
      </c>
      <c r="B58" s="3" t="s">
        <v>46</v>
      </c>
      <c r="C58" s="7" t="str">
        <f ca="1">IFERROR(__xludf.DUMMYFUNCTION("""COMPUTED_VALUE"""),"宋于承")</f>
        <v>宋于承</v>
      </c>
    </row>
    <row r="59" spans="1:3" s="12" customFormat="1">
      <c r="A59" s="12" t="s">
        <v>61</v>
      </c>
      <c r="B59" s="3" t="s">
        <v>44</v>
      </c>
      <c r="C59" s="7" t="str">
        <f ca="1">IFERROR(__xludf.DUMMYFUNCTION("IMPORTRANGE(""https://docs.google.com/spreadsheets/d/1pLuHQoVN4yAG-bn0qjj4J0THrDThleIHTS7ts6BYHIU/edit#gid=1900093922"",""期末考!r2:r30"")"),"連樂恩")</f>
        <v>連樂恩</v>
      </c>
    </row>
    <row r="60" spans="1:3" s="12" customFormat="1">
      <c r="A60" s="12" t="s">
        <v>61</v>
      </c>
      <c r="B60" s="3" t="s">
        <v>44</v>
      </c>
      <c r="C60" s="7" t="str">
        <f ca="1">IFERROR(__xludf.DUMMYFUNCTION("""COMPUTED_VALUE"""),"莊子萱")</f>
        <v>莊子萱</v>
      </c>
    </row>
    <row r="61" spans="1:3" s="12" customFormat="1">
      <c r="A61" s="12" t="s">
        <v>61</v>
      </c>
      <c r="B61" s="3" t="s">
        <v>44</v>
      </c>
      <c r="C61" s="7" t="str">
        <f ca="1">IFERROR(__xludf.DUMMYFUNCTION("""COMPUTED_VALUE"""),"張聿程")</f>
        <v>張聿程</v>
      </c>
    </row>
    <row r="62" spans="1:3" s="12" customFormat="1">
      <c r="A62" s="12" t="s">
        <v>61</v>
      </c>
      <c r="B62" s="3" t="s">
        <v>44</v>
      </c>
      <c r="C62" s="7" t="str">
        <f ca="1">IFERROR(__xludf.DUMMYFUNCTION("""COMPUTED_VALUE"""),"姚則均")</f>
        <v>姚則均</v>
      </c>
    </row>
    <row r="63" spans="1:3" s="12" customFormat="1">
      <c r="A63" s="12" t="s">
        <v>61</v>
      </c>
      <c r="B63" s="3" t="s">
        <v>44</v>
      </c>
      <c r="C63" s="7" t="str">
        <f ca="1">IFERROR(__xludf.DUMMYFUNCTION("""COMPUTED_VALUE"""),"林詠翰")</f>
        <v>林詠翰</v>
      </c>
    </row>
    <row r="64" spans="1:3" s="12" customFormat="1">
      <c r="A64" s="12" t="s">
        <v>61</v>
      </c>
      <c r="B64" s="3" t="s">
        <v>44</v>
      </c>
      <c r="C64" s="7" t="str">
        <f ca="1">IFERROR(__xludf.DUMMYFUNCTION("""COMPUTED_VALUE"""),"林梓璿")</f>
        <v>林梓璿</v>
      </c>
    </row>
    <row r="65" spans="1:3" s="12" customFormat="1">
      <c r="A65" s="12" t="s">
        <v>61</v>
      </c>
      <c r="B65" s="3" t="s">
        <v>44</v>
      </c>
      <c r="C65" s="7" t="str">
        <f ca="1">IFERROR(__xludf.DUMMYFUNCTION("""COMPUTED_VALUE"""),"林宥辰")</f>
        <v>林宥辰</v>
      </c>
    </row>
    <row r="66" spans="1:3" s="12" customFormat="1">
      <c r="A66" s="12" t="s">
        <v>61</v>
      </c>
      <c r="B66" s="3" t="s">
        <v>44</v>
      </c>
      <c r="C66" s="7" t="str">
        <f ca="1">IFERROR(__xludf.DUMMYFUNCTION("""COMPUTED_VALUE"""),"吳哲瑞")</f>
        <v>吳哲瑞</v>
      </c>
    </row>
    <row r="67" spans="1:3" s="12" customFormat="1">
      <c r="A67" s="12" t="s">
        <v>61</v>
      </c>
      <c r="B67" s="3" t="s">
        <v>44</v>
      </c>
      <c r="C67" s="7" t="str">
        <f ca="1">IFERROR(__xludf.DUMMYFUNCTION("""COMPUTED_VALUE"""),"江喡慈")</f>
        <v>江喡慈</v>
      </c>
    </row>
    <row r="68" spans="1:3" s="12" customFormat="1">
      <c r="A68" s="12" t="s">
        <v>61</v>
      </c>
      <c r="B68" s="3" t="s">
        <v>45</v>
      </c>
      <c r="C68" s="9" t="str">
        <f ca="1">IFERROR(__xludf.DUMMYFUNCTION("IMPORTRANGE(""https://docs.google.com/spreadsheets/d/1BnSt5xz6ni5AVBAMOm7G2EC0bePdBnYChq9SGUSrcag/edit#gid=1900093922"",""期末考!r2:r30"")"),"黃琳恩")</f>
        <v>黃琳恩</v>
      </c>
    </row>
    <row r="69" spans="1:3" s="12" customFormat="1">
      <c r="A69" s="12" t="s">
        <v>61</v>
      </c>
      <c r="B69" s="3" t="s">
        <v>45</v>
      </c>
      <c r="C69" s="7" t="str">
        <f ca="1">IFERROR(__xludf.DUMMYFUNCTION("""COMPUTED_VALUE"""),"陳芊燁")</f>
        <v>陳芊燁</v>
      </c>
    </row>
    <row r="70" spans="1:3" s="12" customFormat="1">
      <c r="A70" s="12" t="s">
        <v>61</v>
      </c>
      <c r="B70" s="3" t="s">
        <v>45</v>
      </c>
      <c r="C70" s="7" t="str">
        <f ca="1">IFERROR(__xludf.DUMMYFUNCTION("""COMPUTED_VALUE"""),"林存希")</f>
        <v>林存希</v>
      </c>
    </row>
    <row r="71" spans="1:3">
      <c r="B71" s="11" t="s">
        <v>88</v>
      </c>
      <c r="C71" s="11" t="s">
        <v>78</v>
      </c>
    </row>
    <row r="72" spans="1:3">
      <c r="B72" s="11" t="s">
        <v>88</v>
      </c>
      <c r="C72" s="11" t="s">
        <v>79</v>
      </c>
    </row>
    <row r="73" spans="1:3">
      <c r="B73" s="11" t="s">
        <v>88</v>
      </c>
      <c r="C73" s="11" t="s">
        <v>80</v>
      </c>
    </row>
    <row r="74" spans="1:3">
      <c r="B74" s="11" t="s">
        <v>88</v>
      </c>
      <c r="C74" s="11" t="s">
        <v>81</v>
      </c>
    </row>
    <row r="75" spans="1:3">
      <c r="B75" s="11" t="s">
        <v>87</v>
      </c>
      <c r="C75" s="11" t="s">
        <v>82</v>
      </c>
    </row>
    <row r="76" spans="1:3">
      <c r="B76" s="11" t="s">
        <v>87</v>
      </c>
      <c r="C76" s="11" t="s">
        <v>83</v>
      </c>
    </row>
    <row r="77" spans="1:3">
      <c r="B77" s="11" t="s">
        <v>87</v>
      </c>
      <c r="C77" s="11" t="s">
        <v>84</v>
      </c>
    </row>
    <row r="78" spans="1:3">
      <c r="B78" s="11" t="s">
        <v>87</v>
      </c>
      <c r="C78" s="11" t="s">
        <v>85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B1" sqref="A1:B1048576"/>
    </sheetView>
  </sheetViews>
  <sheetFormatPr defaultRowHeight="16.5"/>
  <cols>
    <col min="1" max="16384" width="9" style="11"/>
  </cols>
  <sheetData>
    <row r="1" spans="1:3">
      <c r="A1" s="1" t="s">
        <v>27</v>
      </c>
      <c r="B1" s="1" t="s">
        <v>28</v>
      </c>
      <c r="C1" s="1" t="s">
        <v>0</v>
      </c>
    </row>
    <row r="2" spans="1:3" s="12" customFormat="1">
      <c r="A2" s="3" t="s">
        <v>43</v>
      </c>
      <c r="B2" s="3" t="s">
        <v>43</v>
      </c>
      <c r="C2" s="14" t="s">
        <v>2</v>
      </c>
    </row>
    <row r="3" spans="1:3" s="12" customFormat="1">
      <c r="A3" s="3" t="s">
        <v>43</v>
      </c>
      <c r="B3" s="3" t="s">
        <v>43</v>
      </c>
      <c r="C3" s="14" t="s">
        <v>1</v>
      </c>
    </row>
    <row r="4" spans="1:3" s="12" customFormat="1">
      <c r="A4" s="3" t="s">
        <v>43</v>
      </c>
      <c r="B4" s="3" t="s">
        <v>43</v>
      </c>
      <c r="C4" s="14" t="s">
        <v>47</v>
      </c>
    </row>
    <row r="5" spans="1:3" s="12" customFormat="1">
      <c r="A5" s="3" t="s">
        <v>43</v>
      </c>
      <c r="B5" s="3" t="s">
        <v>44</v>
      </c>
      <c r="C5" s="14" t="s">
        <v>62</v>
      </c>
    </row>
    <row r="6" spans="1:3" s="12" customFormat="1">
      <c r="A6" s="3" t="s">
        <v>43</v>
      </c>
      <c r="B6" s="3" t="s">
        <v>44</v>
      </c>
      <c r="C6" s="14" t="s">
        <v>63</v>
      </c>
    </row>
    <row r="7" spans="1:3" s="12" customFormat="1">
      <c r="A7" s="3" t="s">
        <v>43</v>
      </c>
      <c r="B7" s="3" t="s">
        <v>44</v>
      </c>
      <c r="C7" s="14" t="s">
        <v>64</v>
      </c>
    </row>
    <row r="8" spans="1:3" s="12" customFormat="1">
      <c r="A8" s="3" t="s">
        <v>44</v>
      </c>
      <c r="B8" s="3" t="s">
        <v>43</v>
      </c>
      <c r="C8" s="14" t="s">
        <v>4</v>
      </c>
    </row>
    <row r="9" spans="1:3" s="12" customFormat="1">
      <c r="A9" s="3" t="s">
        <v>44</v>
      </c>
      <c r="B9" s="3" t="s">
        <v>43</v>
      </c>
      <c r="C9" s="14" t="s">
        <v>6</v>
      </c>
    </row>
    <row r="10" spans="1:3" s="12" customFormat="1">
      <c r="A10" s="3" t="s">
        <v>44</v>
      </c>
      <c r="B10" s="3" t="s">
        <v>43</v>
      </c>
      <c r="C10" s="14" t="s">
        <v>5</v>
      </c>
    </row>
    <row r="11" spans="1:3" s="12" customFormat="1">
      <c r="A11" s="3" t="s">
        <v>44</v>
      </c>
      <c r="B11" s="3" t="s">
        <v>44</v>
      </c>
      <c r="C11" s="14" t="s">
        <v>7</v>
      </c>
    </row>
    <row r="12" spans="1:3" s="12" customFormat="1">
      <c r="A12" s="3" t="s">
        <v>44</v>
      </c>
      <c r="B12" s="3" t="s">
        <v>44</v>
      </c>
      <c r="C12" s="14" t="s">
        <v>65</v>
      </c>
    </row>
    <row r="13" spans="1:3" s="12" customFormat="1">
      <c r="A13" s="3" t="s">
        <v>44</v>
      </c>
      <c r="B13" s="3" t="s">
        <v>44</v>
      </c>
      <c r="C13" s="14" t="s">
        <v>66</v>
      </c>
    </row>
    <row r="14" spans="1:3">
      <c r="A14" s="1" t="s">
        <v>45</v>
      </c>
      <c r="B14" s="1" t="s">
        <v>46</v>
      </c>
      <c r="C14" s="13" t="s">
        <v>29</v>
      </c>
    </row>
    <row r="15" spans="1:3">
      <c r="A15" s="1" t="s">
        <v>45</v>
      </c>
      <c r="B15" s="1" t="s">
        <v>46</v>
      </c>
      <c r="C15" s="13" t="s">
        <v>41</v>
      </c>
    </row>
    <row r="16" spans="1:3">
      <c r="A16" s="1" t="s">
        <v>45</v>
      </c>
      <c r="B16" s="1" t="s">
        <v>46</v>
      </c>
      <c r="C16" s="13" t="s">
        <v>67</v>
      </c>
    </row>
    <row r="17" spans="1:3">
      <c r="A17" s="1" t="s">
        <v>45</v>
      </c>
      <c r="B17" s="1" t="s">
        <v>44</v>
      </c>
      <c r="C17" s="13" t="s">
        <v>10</v>
      </c>
    </row>
    <row r="18" spans="1:3">
      <c r="A18" s="1" t="s">
        <v>45</v>
      </c>
      <c r="B18" s="1" t="s">
        <v>44</v>
      </c>
      <c r="C18" s="13" t="s">
        <v>8</v>
      </c>
    </row>
    <row r="19" spans="1:3">
      <c r="A19" s="1" t="s">
        <v>45</v>
      </c>
      <c r="B19" s="1" t="s">
        <v>44</v>
      </c>
      <c r="C19" s="13" t="s">
        <v>9</v>
      </c>
    </row>
    <row r="20" spans="1:3">
      <c r="A20" s="1" t="s">
        <v>45</v>
      </c>
      <c r="B20" s="1" t="s">
        <v>45</v>
      </c>
      <c r="C20" s="13" t="s">
        <v>30</v>
      </c>
    </row>
    <row r="21" spans="1:3">
      <c r="A21" s="1" t="s">
        <v>45</v>
      </c>
      <c r="B21" s="1" t="s">
        <v>45</v>
      </c>
      <c r="C21" s="13" t="s">
        <v>38</v>
      </c>
    </row>
    <row r="22" spans="1:3">
      <c r="A22" s="1" t="s">
        <v>45</v>
      </c>
      <c r="B22" s="1" t="s">
        <v>45</v>
      </c>
      <c r="C22" s="13" t="s">
        <v>34</v>
      </c>
    </row>
    <row r="23" spans="1:3">
      <c r="A23" s="1" t="s">
        <v>56</v>
      </c>
      <c r="B23" s="1" t="s">
        <v>46</v>
      </c>
      <c r="C23" s="13" t="s">
        <v>11</v>
      </c>
    </row>
    <row r="24" spans="1:3">
      <c r="A24" s="1" t="s">
        <v>56</v>
      </c>
      <c r="B24" s="1" t="s">
        <v>46</v>
      </c>
      <c r="C24" s="13" t="s">
        <v>12</v>
      </c>
    </row>
    <row r="25" spans="1:3">
      <c r="A25" s="1" t="s">
        <v>56</v>
      </c>
      <c r="B25" s="1" t="s">
        <v>46</v>
      </c>
      <c r="C25" s="13" t="s">
        <v>13</v>
      </c>
    </row>
    <row r="26" spans="1:3">
      <c r="A26" s="1" t="s">
        <v>56</v>
      </c>
      <c r="B26" s="1" t="s">
        <v>44</v>
      </c>
      <c r="C26" s="13" t="s">
        <v>14</v>
      </c>
    </row>
    <row r="27" spans="1:3">
      <c r="A27" s="1" t="s">
        <v>56</v>
      </c>
      <c r="B27" s="1" t="s">
        <v>44</v>
      </c>
      <c r="C27" s="13" t="s">
        <v>15</v>
      </c>
    </row>
    <row r="28" spans="1:3">
      <c r="A28" s="1" t="s">
        <v>56</v>
      </c>
      <c r="B28" s="1" t="s">
        <v>44</v>
      </c>
      <c r="C28" s="13" t="s">
        <v>68</v>
      </c>
    </row>
    <row r="29" spans="1:3">
      <c r="A29" s="1" t="s">
        <v>56</v>
      </c>
      <c r="B29" s="1" t="s">
        <v>45</v>
      </c>
      <c r="C29" s="13" t="s">
        <v>37</v>
      </c>
    </row>
    <row r="30" spans="1:3">
      <c r="A30" s="1" t="s">
        <v>56</v>
      </c>
      <c r="B30" s="1" t="s">
        <v>45</v>
      </c>
      <c r="C30" s="13" t="s">
        <v>35</v>
      </c>
    </row>
    <row r="31" spans="1:3">
      <c r="A31" s="1" t="s">
        <v>56</v>
      </c>
      <c r="B31" s="1" t="s">
        <v>45</v>
      </c>
      <c r="C31" s="13" t="s">
        <v>31</v>
      </c>
    </row>
    <row r="32" spans="1:3" s="12" customFormat="1">
      <c r="A32" s="3" t="s">
        <v>70</v>
      </c>
      <c r="B32" s="3" t="s">
        <v>46</v>
      </c>
      <c r="C32" s="14" t="s">
        <v>16</v>
      </c>
    </row>
    <row r="33" spans="1:3" s="12" customFormat="1">
      <c r="A33" s="3" t="s">
        <v>70</v>
      </c>
      <c r="B33" s="3" t="s">
        <v>46</v>
      </c>
      <c r="C33" s="14" t="s">
        <v>17</v>
      </c>
    </row>
    <row r="34" spans="1:3" s="12" customFormat="1">
      <c r="A34" s="3" t="s">
        <v>70</v>
      </c>
      <c r="B34" s="3" t="s">
        <v>46</v>
      </c>
      <c r="C34" s="14" t="s">
        <v>18</v>
      </c>
    </row>
    <row r="35" spans="1:3" s="12" customFormat="1">
      <c r="A35" s="3" t="s">
        <v>70</v>
      </c>
      <c r="B35" s="3" t="s">
        <v>44</v>
      </c>
      <c r="C35" s="14" t="s">
        <v>19</v>
      </c>
    </row>
    <row r="36" spans="1:3" s="12" customFormat="1">
      <c r="A36" s="3" t="s">
        <v>70</v>
      </c>
      <c r="B36" s="3" t="s">
        <v>44</v>
      </c>
      <c r="C36" s="14" t="s">
        <v>20</v>
      </c>
    </row>
    <row r="37" spans="1:3" s="12" customFormat="1">
      <c r="A37" s="3" t="s">
        <v>70</v>
      </c>
      <c r="B37" s="3" t="s">
        <v>44</v>
      </c>
      <c r="C37" s="14" t="s">
        <v>21</v>
      </c>
    </row>
    <row r="38" spans="1:3" s="12" customFormat="1">
      <c r="A38" s="3" t="s">
        <v>70</v>
      </c>
      <c r="B38" s="3" t="s">
        <v>71</v>
      </c>
      <c r="C38" s="14" t="s">
        <v>22</v>
      </c>
    </row>
    <row r="39" spans="1:3" s="12" customFormat="1">
      <c r="A39" s="3" t="s">
        <v>70</v>
      </c>
      <c r="B39" s="3" t="s">
        <v>71</v>
      </c>
      <c r="C39" s="14" t="s">
        <v>23</v>
      </c>
    </row>
    <row r="40" spans="1:3" s="12" customFormat="1">
      <c r="A40" s="3" t="s">
        <v>70</v>
      </c>
      <c r="B40" s="3" t="s">
        <v>71</v>
      </c>
      <c r="C40" s="14" t="s">
        <v>69</v>
      </c>
    </row>
    <row r="41" spans="1:3" s="12" customFormat="1">
      <c r="A41" s="3" t="s">
        <v>72</v>
      </c>
      <c r="B41" s="3" t="s">
        <v>46</v>
      </c>
      <c r="C41" s="14" t="s">
        <v>32</v>
      </c>
    </row>
    <row r="42" spans="1:3" s="12" customFormat="1">
      <c r="A42" s="3" t="s">
        <v>72</v>
      </c>
      <c r="B42" s="3" t="s">
        <v>46</v>
      </c>
      <c r="C42" s="14" t="s">
        <v>42</v>
      </c>
    </row>
    <row r="43" spans="1:3" s="12" customFormat="1">
      <c r="A43" s="3" t="s">
        <v>72</v>
      </c>
      <c r="B43" s="3" t="s">
        <v>46</v>
      </c>
      <c r="C43" s="14" t="s">
        <v>39</v>
      </c>
    </row>
    <row r="44" spans="1:3" s="12" customFormat="1">
      <c r="A44" s="3" t="s">
        <v>72</v>
      </c>
      <c r="B44" s="3" t="s">
        <v>44</v>
      </c>
      <c r="C44" s="14" t="s">
        <v>33</v>
      </c>
    </row>
    <row r="45" spans="1:3" s="12" customFormat="1">
      <c r="A45" s="3" t="s">
        <v>72</v>
      </c>
      <c r="B45" s="3" t="s">
        <v>44</v>
      </c>
      <c r="C45" s="14" t="s">
        <v>36</v>
      </c>
    </row>
    <row r="46" spans="1:3" s="12" customFormat="1">
      <c r="A46" s="3" t="s">
        <v>72</v>
      </c>
      <c r="B46" s="3" t="s">
        <v>44</v>
      </c>
      <c r="C46" s="14" t="s">
        <v>40</v>
      </c>
    </row>
    <row r="47" spans="1:3" s="12" customFormat="1">
      <c r="A47" s="3" t="s">
        <v>72</v>
      </c>
      <c r="B47" s="3" t="s">
        <v>71</v>
      </c>
      <c r="C47" s="14" t="s">
        <v>26</v>
      </c>
    </row>
    <row r="48" spans="1:3" s="12" customFormat="1">
      <c r="A48" s="3" t="s">
        <v>72</v>
      </c>
      <c r="B48" s="3" t="s">
        <v>71</v>
      </c>
      <c r="C48" s="14" t="s">
        <v>24</v>
      </c>
    </row>
    <row r="49" spans="1:3" s="12" customFormat="1">
      <c r="A49" s="3" t="s">
        <v>72</v>
      </c>
      <c r="B49" s="3" t="s">
        <v>71</v>
      </c>
      <c r="C49" s="14" t="s">
        <v>25</v>
      </c>
    </row>
    <row r="50" spans="1:3">
      <c r="B50" s="11" t="s">
        <v>86</v>
      </c>
      <c r="C50" s="11" t="s">
        <v>74</v>
      </c>
    </row>
    <row r="51" spans="1:3">
      <c r="B51" s="11" t="s">
        <v>86</v>
      </c>
      <c r="C51" s="11" t="s">
        <v>75</v>
      </c>
    </row>
    <row r="52" spans="1:3">
      <c r="B52" s="11" t="s">
        <v>87</v>
      </c>
      <c r="C52" s="11" t="s">
        <v>76</v>
      </c>
    </row>
    <row r="53" spans="1:3">
      <c r="B53" s="11" t="s">
        <v>87</v>
      </c>
      <c r="C53" s="11" t="s">
        <v>77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列印獎狀清單-小博</vt:lpstr>
      <vt:lpstr>列印獎狀清單-小碩</vt:lpstr>
      <vt:lpstr>列印獎狀清單-進步</vt:lpstr>
      <vt:lpstr>列印獎狀清單-優質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Art</cp:lastModifiedBy>
  <dcterms:created xsi:type="dcterms:W3CDTF">2020-11-16T07:18:43Z</dcterms:created>
  <dcterms:modified xsi:type="dcterms:W3CDTF">2021-01-19T04:48:31Z</dcterms:modified>
</cp:coreProperties>
</file>